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tabRatio="629"/>
  </bookViews>
  <sheets>
    <sheet name="Сводная" sheetId="27" r:id="rId1"/>
    <sheet name="день 1 " sheetId="28" r:id="rId2"/>
    <sheet name="день 2" sheetId="30" r:id="rId3"/>
    <sheet name="день 3" sheetId="31" r:id="rId4"/>
    <sheet name="день 4 " sheetId="32" r:id="rId5"/>
    <sheet name="день 5 " sheetId="33" r:id="rId6"/>
    <sheet name="день 6 " sheetId="34" r:id="rId7"/>
    <sheet name="день 7 " sheetId="35" r:id="rId8"/>
    <sheet name="день 8 " sheetId="36" r:id="rId9"/>
    <sheet name="день 9" sheetId="37" r:id="rId10"/>
    <sheet name="день 10 " sheetId="38" r:id="rId11"/>
    <sheet name="день 11 " sheetId="39" r:id="rId12"/>
    <sheet name="день 12" sheetId="1" r:id="rId13"/>
    <sheet name="000" sheetId="29" r:id="rId14"/>
  </sheets>
  <calcPr calcId="125725"/>
</workbook>
</file>

<file path=xl/calcChain.xml><?xml version="1.0" encoding="utf-8"?>
<calcChain xmlns="http://schemas.openxmlformats.org/spreadsheetml/2006/main">
  <c r="J15" i="1"/>
  <c r="I15"/>
  <c r="H15"/>
  <c r="G15"/>
  <c r="F15"/>
  <c r="E15"/>
  <c r="J25"/>
  <c r="I25"/>
  <c r="H25"/>
  <c r="G25"/>
  <c r="F25"/>
  <c r="L25" s="1"/>
  <c r="E25"/>
  <c r="E16"/>
  <c r="F16"/>
  <c r="G16"/>
  <c r="H16"/>
  <c r="I16"/>
  <c r="K16" s="1"/>
  <c r="J16"/>
  <c r="L16"/>
  <c r="E17"/>
  <c r="F17"/>
  <c r="L17" s="1"/>
  <c r="G17"/>
  <c r="H17"/>
  <c r="I17"/>
  <c r="K17" s="1"/>
  <c r="J17"/>
  <c r="J14"/>
  <c r="I14"/>
  <c r="H14"/>
  <c r="G14"/>
  <c r="F14"/>
  <c r="E14"/>
  <c r="J13"/>
  <c r="I13"/>
  <c r="H13"/>
  <c r="G13"/>
  <c r="F13"/>
  <c r="E13"/>
  <c r="J10"/>
  <c r="I10"/>
  <c r="H10"/>
  <c r="G10"/>
  <c r="F10"/>
  <c r="E10"/>
  <c r="J7"/>
  <c r="I7"/>
  <c r="H7"/>
  <c r="G7"/>
  <c r="F7"/>
  <c r="L7" s="1"/>
  <c r="E7"/>
  <c r="J26" i="39"/>
  <c r="I26"/>
  <c r="H26"/>
  <c r="G26"/>
  <c r="F26"/>
  <c r="E26"/>
  <c r="J27"/>
  <c r="I27"/>
  <c r="H27"/>
  <c r="G27"/>
  <c r="F27"/>
  <c r="L27" s="1"/>
  <c r="E27"/>
  <c r="K27" s="1"/>
  <c r="J17"/>
  <c r="I17"/>
  <c r="H17"/>
  <c r="G17"/>
  <c r="F17"/>
  <c r="L17" s="1"/>
  <c r="E17"/>
  <c r="J13"/>
  <c r="I13"/>
  <c r="H13"/>
  <c r="G13"/>
  <c r="F13"/>
  <c r="E13"/>
  <c r="J16"/>
  <c r="I16"/>
  <c r="H16"/>
  <c r="G16"/>
  <c r="F16"/>
  <c r="E16"/>
  <c r="J15"/>
  <c r="I15"/>
  <c r="H15"/>
  <c r="G15"/>
  <c r="F15"/>
  <c r="E15"/>
  <c r="E16" i="38"/>
  <c r="F16"/>
  <c r="G16"/>
  <c r="H16"/>
  <c r="I16"/>
  <c r="J16"/>
  <c r="J14" i="39"/>
  <c r="I14"/>
  <c r="H14"/>
  <c r="G14"/>
  <c r="F14"/>
  <c r="E14"/>
  <c r="J10"/>
  <c r="I10"/>
  <c r="H10"/>
  <c r="G10"/>
  <c r="F10"/>
  <c r="E10"/>
  <c r="J9"/>
  <c r="I9"/>
  <c r="H9"/>
  <c r="G9"/>
  <c r="F9"/>
  <c r="E9"/>
  <c r="J7"/>
  <c r="I7"/>
  <c r="H7"/>
  <c r="G7"/>
  <c r="F7"/>
  <c r="E7"/>
  <c r="D28"/>
  <c r="C28"/>
  <c r="H28"/>
  <c r="G28"/>
  <c r="D21"/>
  <c r="C21"/>
  <c r="L20"/>
  <c r="K20"/>
  <c r="J19"/>
  <c r="I19"/>
  <c r="H19"/>
  <c r="G19"/>
  <c r="F19"/>
  <c r="E19"/>
  <c r="J18"/>
  <c r="I18"/>
  <c r="H18"/>
  <c r="G18"/>
  <c r="F18"/>
  <c r="E18"/>
  <c r="L15"/>
  <c r="K15"/>
  <c r="D11"/>
  <c r="C11"/>
  <c r="J8"/>
  <c r="I8"/>
  <c r="H8"/>
  <c r="G8"/>
  <c r="F8"/>
  <c r="L8" s="1"/>
  <c r="E8"/>
  <c r="E11" s="1"/>
  <c r="I31" i="38"/>
  <c r="E31"/>
  <c r="D31"/>
  <c r="C31"/>
  <c r="K30"/>
  <c r="J30"/>
  <c r="I30"/>
  <c r="H30"/>
  <c r="G30"/>
  <c r="F30"/>
  <c r="L30" s="1"/>
  <c r="E30"/>
  <c r="J29"/>
  <c r="I29"/>
  <c r="H29"/>
  <c r="G29"/>
  <c r="K29" s="1"/>
  <c r="F29"/>
  <c r="L29" s="1"/>
  <c r="E29"/>
  <c r="J28"/>
  <c r="J31" s="1"/>
  <c r="I28"/>
  <c r="H28"/>
  <c r="H31" s="1"/>
  <c r="G28"/>
  <c r="G31" s="1"/>
  <c r="F28"/>
  <c r="F31" s="1"/>
  <c r="E28"/>
  <c r="D23"/>
  <c r="C23"/>
  <c r="L22"/>
  <c r="K22"/>
  <c r="J21"/>
  <c r="I21"/>
  <c r="H21"/>
  <c r="G21"/>
  <c r="K21" s="1"/>
  <c r="F21"/>
  <c r="L21" s="1"/>
  <c r="E21"/>
  <c r="J20"/>
  <c r="I20"/>
  <c r="H20"/>
  <c r="G20"/>
  <c r="K20" s="1"/>
  <c r="F20"/>
  <c r="L20" s="1"/>
  <c r="E20"/>
  <c r="J19"/>
  <c r="I19"/>
  <c r="H19"/>
  <c r="G19"/>
  <c r="K19" s="1"/>
  <c r="F19"/>
  <c r="L19" s="1"/>
  <c r="E19"/>
  <c r="J18"/>
  <c r="I18"/>
  <c r="H18"/>
  <c r="G18"/>
  <c r="K18" s="1"/>
  <c r="F18"/>
  <c r="L18" s="1"/>
  <c r="E18"/>
  <c r="J17"/>
  <c r="I17"/>
  <c r="H17"/>
  <c r="G17"/>
  <c r="K17" s="1"/>
  <c r="F17"/>
  <c r="L17" s="1"/>
  <c r="E17"/>
  <c r="J15"/>
  <c r="I15"/>
  <c r="H15"/>
  <c r="G15"/>
  <c r="K15" s="1"/>
  <c r="F15"/>
  <c r="L15" s="1"/>
  <c r="E15"/>
  <c r="K14"/>
  <c r="J14"/>
  <c r="I14"/>
  <c r="H14"/>
  <c r="G14"/>
  <c r="F14"/>
  <c r="L14" s="1"/>
  <c r="E14"/>
  <c r="J13"/>
  <c r="I13"/>
  <c r="H13"/>
  <c r="H23" s="1"/>
  <c r="G13"/>
  <c r="K13" s="1"/>
  <c r="F13"/>
  <c r="F23" s="1"/>
  <c r="E13"/>
  <c r="G11"/>
  <c r="D11"/>
  <c r="C11"/>
  <c r="J10"/>
  <c r="I10"/>
  <c r="H10"/>
  <c r="G10"/>
  <c r="F10"/>
  <c r="L10" s="1"/>
  <c r="E10"/>
  <c r="K10" s="1"/>
  <c r="J9"/>
  <c r="I9"/>
  <c r="H9"/>
  <c r="G9"/>
  <c r="F9"/>
  <c r="L9" s="1"/>
  <c r="E9"/>
  <c r="K9" s="1"/>
  <c r="J8"/>
  <c r="I8"/>
  <c r="H8"/>
  <c r="G8"/>
  <c r="F8"/>
  <c r="L8" s="1"/>
  <c r="E8"/>
  <c r="K8" s="1"/>
  <c r="J7"/>
  <c r="J11" s="1"/>
  <c r="I7"/>
  <c r="I11" s="1"/>
  <c r="H7"/>
  <c r="H11" s="1"/>
  <c r="G7"/>
  <c r="F7"/>
  <c r="F11" s="1"/>
  <c r="E7"/>
  <c r="E11" s="1"/>
  <c r="J26" i="1"/>
  <c r="I26"/>
  <c r="H26"/>
  <c r="G26"/>
  <c r="F26"/>
  <c r="E26"/>
  <c r="J9"/>
  <c r="I9"/>
  <c r="H9"/>
  <c r="G9"/>
  <c r="F9"/>
  <c r="E9"/>
  <c r="J7" i="30"/>
  <c r="I7"/>
  <c r="H7"/>
  <c r="G7"/>
  <c r="F7"/>
  <c r="L7" s="1"/>
  <c r="E7"/>
  <c r="K7" s="1"/>
  <c r="J30" i="37"/>
  <c r="I30"/>
  <c r="F30"/>
  <c r="E30"/>
  <c r="D30"/>
  <c r="C30"/>
  <c r="J29"/>
  <c r="I29"/>
  <c r="H29"/>
  <c r="L29" s="1"/>
  <c r="G29"/>
  <c r="K29" s="1"/>
  <c r="F29"/>
  <c r="E29"/>
  <c r="J28"/>
  <c r="I28"/>
  <c r="H28"/>
  <c r="H30" s="1"/>
  <c r="G28"/>
  <c r="G30" s="1"/>
  <c r="F28"/>
  <c r="E28"/>
  <c r="D23"/>
  <c r="C23"/>
  <c r="L22"/>
  <c r="K22"/>
  <c r="J21"/>
  <c r="I21"/>
  <c r="H21"/>
  <c r="L21" s="1"/>
  <c r="G21"/>
  <c r="K21" s="1"/>
  <c r="F21"/>
  <c r="E21"/>
  <c r="J20"/>
  <c r="I20"/>
  <c r="H20"/>
  <c r="L20" s="1"/>
  <c r="G20"/>
  <c r="K20" s="1"/>
  <c r="F20"/>
  <c r="E20"/>
  <c r="J19"/>
  <c r="I19"/>
  <c r="H19"/>
  <c r="L19" s="1"/>
  <c r="G19"/>
  <c r="K19" s="1"/>
  <c r="F19"/>
  <c r="E19"/>
  <c r="J18"/>
  <c r="I18"/>
  <c r="H18"/>
  <c r="L18" s="1"/>
  <c r="G18"/>
  <c r="K18" s="1"/>
  <c r="F18"/>
  <c r="E18"/>
  <c r="J17"/>
  <c r="I17"/>
  <c r="H17"/>
  <c r="L17" s="1"/>
  <c r="G17"/>
  <c r="K17" s="1"/>
  <c r="F17"/>
  <c r="E17"/>
  <c r="J16"/>
  <c r="I16"/>
  <c r="H16"/>
  <c r="L16" s="1"/>
  <c r="G16"/>
  <c r="K16" s="1"/>
  <c r="F16"/>
  <c r="E16"/>
  <c r="J15"/>
  <c r="I15"/>
  <c r="H15"/>
  <c r="L15" s="1"/>
  <c r="G15"/>
  <c r="K15" s="1"/>
  <c r="F15"/>
  <c r="E15"/>
  <c r="J14"/>
  <c r="I14"/>
  <c r="H14"/>
  <c r="L14" s="1"/>
  <c r="G14"/>
  <c r="K14" s="1"/>
  <c r="F14"/>
  <c r="E14"/>
  <c r="J13"/>
  <c r="J23" s="1"/>
  <c r="I13"/>
  <c r="I23" s="1"/>
  <c r="H13"/>
  <c r="H23" s="1"/>
  <c r="G13"/>
  <c r="G23" s="1"/>
  <c r="F13"/>
  <c r="F23" s="1"/>
  <c r="E13"/>
  <c r="E23" s="1"/>
  <c r="G11"/>
  <c r="D11"/>
  <c r="C11"/>
  <c r="J10"/>
  <c r="I10"/>
  <c r="H10"/>
  <c r="G10"/>
  <c r="F10"/>
  <c r="L10" s="1"/>
  <c r="E10"/>
  <c r="K10" s="1"/>
  <c r="J9"/>
  <c r="I9"/>
  <c r="H9"/>
  <c r="G9"/>
  <c r="F9"/>
  <c r="L9" s="1"/>
  <c r="E9"/>
  <c r="K9" s="1"/>
  <c r="J8"/>
  <c r="I8"/>
  <c r="H8"/>
  <c r="G8"/>
  <c r="F8"/>
  <c r="L8" s="1"/>
  <c r="E8"/>
  <c r="K8" s="1"/>
  <c r="J7"/>
  <c r="J11" s="1"/>
  <c r="J25" s="1"/>
  <c r="I7"/>
  <c r="I11" s="1"/>
  <c r="H7"/>
  <c r="H11" s="1"/>
  <c r="H25" s="1"/>
  <c r="G7"/>
  <c r="F7"/>
  <c r="F11" s="1"/>
  <c r="E7"/>
  <c r="E11" s="1"/>
  <c r="J9" i="36"/>
  <c r="I9"/>
  <c r="H9"/>
  <c r="G9"/>
  <c r="F9"/>
  <c r="L9" s="1"/>
  <c r="E9"/>
  <c r="K9" s="1"/>
  <c r="J29"/>
  <c r="I29"/>
  <c r="H29"/>
  <c r="G29"/>
  <c r="F29"/>
  <c r="L29" s="1"/>
  <c r="E29"/>
  <c r="K29" s="1"/>
  <c r="J28"/>
  <c r="I28"/>
  <c r="H28"/>
  <c r="G28"/>
  <c r="F28"/>
  <c r="E28"/>
  <c r="D30"/>
  <c r="C30"/>
  <c r="J30"/>
  <c r="I30"/>
  <c r="F30"/>
  <c r="E30"/>
  <c r="D23"/>
  <c r="C23"/>
  <c r="L22"/>
  <c r="K22"/>
  <c r="J21"/>
  <c r="I21"/>
  <c r="H21"/>
  <c r="G21"/>
  <c r="F21"/>
  <c r="L21" s="1"/>
  <c r="E21"/>
  <c r="K21" s="1"/>
  <c r="J20"/>
  <c r="I20"/>
  <c r="H20"/>
  <c r="G20"/>
  <c r="F20"/>
  <c r="E20"/>
  <c r="K20" s="1"/>
  <c r="J19"/>
  <c r="I19"/>
  <c r="H19"/>
  <c r="G19"/>
  <c r="F19"/>
  <c r="E19"/>
  <c r="J18"/>
  <c r="I18"/>
  <c r="H18"/>
  <c r="G18"/>
  <c r="F18"/>
  <c r="L18" s="1"/>
  <c r="E18"/>
  <c r="J17"/>
  <c r="I17"/>
  <c r="H17"/>
  <c r="G17"/>
  <c r="F17"/>
  <c r="E17"/>
  <c r="K17" s="1"/>
  <c r="J16"/>
  <c r="I16"/>
  <c r="H16"/>
  <c r="G16"/>
  <c r="F16"/>
  <c r="L16" s="1"/>
  <c r="E16"/>
  <c r="K16" s="1"/>
  <c r="J15"/>
  <c r="I15"/>
  <c r="H15"/>
  <c r="G15"/>
  <c r="F15"/>
  <c r="E15"/>
  <c r="K15" s="1"/>
  <c r="J14"/>
  <c r="I14"/>
  <c r="H14"/>
  <c r="G14"/>
  <c r="F14"/>
  <c r="L14" s="1"/>
  <c r="E14"/>
  <c r="J13"/>
  <c r="J23" s="1"/>
  <c r="I13"/>
  <c r="I23" s="1"/>
  <c r="H13"/>
  <c r="H23" s="1"/>
  <c r="G13"/>
  <c r="G23" s="1"/>
  <c r="F13"/>
  <c r="F23" s="1"/>
  <c r="E13"/>
  <c r="E23" s="1"/>
  <c r="D11"/>
  <c r="C11"/>
  <c r="J10"/>
  <c r="I10"/>
  <c r="H10"/>
  <c r="G10"/>
  <c r="F10"/>
  <c r="E10"/>
  <c r="K10" s="1"/>
  <c r="J8"/>
  <c r="I8"/>
  <c r="H8"/>
  <c r="G8"/>
  <c r="F8"/>
  <c r="E8"/>
  <c r="K8" s="1"/>
  <c r="J7"/>
  <c r="J11" s="1"/>
  <c r="J25" s="1"/>
  <c r="I7"/>
  <c r="I11" s="1"/>
  <c r="I25" s="1"/>
  <c r="H7"/>
  <c r="G7"/>
  <c r="G11" s="1"/>
  <c r="G25" s="1"/>
  <c r="F7"/>
  <c r="F11" s="1"/>
  <c r="E7"/>
  <c r="E11" s="1"/>
  <c r="J8" i="1"/>
  <c r="I8"/>
  <c r="H8"/>
  <c r="G8"/>
  <c r="F8"/>
  <c r="E8"/>
  <c r="K8" s="1"/>
  <c r="J28" i="35"/>
  <c r="I28"/>
  <c r="H28"/>
  <c r="G28"/>
  <c r="F28"/>
  <c r="L28" s="1"/>
  <c r="E28"/>
  <c r="K28" s="1"/>
  <c r="D30"/>
  <c r="C30"/>
  <c r="J29"/>
  <c r="I29"/>
  <c r="I30" s="1"/>
  <c r="H29"/>
  <c r="H30" s="1"/>
  <c r="G29"/>
  <c r="G30" s="1"/>
  <c r="F29"/>
  <c r="E29"/>
  <c r="K29" s="1"/>
  <c r="J30"/>
  <c r="F30"/>
  <c r="E30"/>
  <c r="D23"/>
  <c r="C23"/>
  <c r="L22"/>
  <c r="K22"/>
  <c r="J21"/>
  <c r="I21"/>
  <c r="H21"/>
  <c r="G21"/>
  <c r="F21"/>
  <c r="L21" s="1"/>
  <c r="E21"/>
  <c r="J20"/>
  <c r="I20"/>
  <c r="H20"/>
  <c r="G20"/>
  <c r="F20"/>
  <c r="L20" s="1"/>
  <c r="E20"/>
  <c r="K20" s="1"/>
  <c r="J19"/>
  <c r="I19"/>
  <c r="H19"/>
  <c r="G19"/>
  <c r="F19"/>
  <c r="L19" s="1"/>
  <c r="E19"/>
  <c r="K19" s="1"/>
  <c r="J18"/>
  <c r="I18"/>
  <c r="H18"/>
  <c r="G18"/>
  <c r="F18"/>
  <c r="L18" s="1"/>
  <c r="E18"/>
  <c r="K18" s="1"/>
  <c r="J17"/>
  <c r="I17"/>
  <c r="H17"/>
  <c r="G17"/>
  <c r="F17"/>
  <c r="L17" s="1"/>
  <c r="E17"/>
  <c r="K17" s="1"/>
  <c r="J16"/>
  <c r="I16"/>
  <c r="H16"/>
  <c r="G16"/>
  <c r="F16"/>
  <c r="L16" s="1"/>
  <c r="E16"/>
  <c r="K16" s="1"/>
  <c r="J15"/>
  <c r="I15"/>
  <c r="H15"/>
  <c r="G15"/>
  <c r="F15"/>
  <c r="L15" s="1"/>
  <c r="E15"/>
  <c r="J14"/>
  <c r="I14"/>
  <c r="H14"/>
  <c r="G14"/>
  <c r="F14"/>
  <c r="L14" s="1"/>
  <c r="E14"/>
  <c r="K14" s="1"/>
  <c r="J13"/>
  <c r="J23" s="1"/>
  <c r="I13"/>
  <c r="I23" s="1"/>
  <c r="H13"/>
  <c r="H23" s="1"/>
  <c r="G13"/>
  <c r="G23" s="1"/>
  <c r="F13"/>
  <c r="F23" s="1"/>
  <c r="E13"/>
  <c r="E23" s="1"/>
  <c r="D11"/>
  <c r="C11"/>
  <c r="J10"/>
  <c r="I10"/>
  <c r="H10"/>
  <c r="G10"/>
  <c r="K10" s="1"/>
  <c r="F10"/>
  <c r="E10"/>
  <c r="J9"/>
  <c r="I9"/>
  <c r="H9"/>
  <c r="G9"/>
  <c r="F9"/>
  <c r="E9"/>
  <c r="J8"/>
  <c r="I8"/>
  <c r="H8"/>
  <c r="G8"/>
  <c r="F8"/>
  <c r="E8"/>
  <c r="J7"/>
  <c r="J11" s="1"/>
  <c r="I7"/>
  <c r="I11" s="1"/>
  <c r="H7"/>
  <c r="G7"/>
  <c r="F7"/>
  <c r="F11" s="1"/>
  <c r="E7"/>
  <c r="E11" s="1"/>
  <c r="E25" s="1"/>
  <c r="J26" i="34"/>
  <c r="I26"/>
  <c r="H26"/>
  <c r="G26"/>
  <c r="F26"/>
  <c r="E26"/>
  <c r="J27"/>
  <c r="I27"/>
  <c r="H27"/>
  <c r="G27"/>
  <c r="F27"/>
  <c r="L27" s="1"/>
  <c r="E27"/>
  <c r="K27" s="1"/>
  <c r="J13" i="31"/>
  <c r="I13"/>
  <c r="H13"/>
  <c r="G13"/>
  <c r="F13"/>
  <c r="L13" s="1"/>
  <c r="E13"/>
  <c r="K13" s="1"/>
  <c r="J13" i="34"/>
  <c r="I13"/>
  <c r="H13"/>
  <c r="G13"/>
  <c r="F13"/>
  <c r="E13"/>
  <c r="J17"/>
  <c r="I17"/>
  <c r="H17"/>
  <c r="G17"/>
  <c r="F17"/>
  <c r="L17" s="1"/>
  <c r="E17"/>
  <c r="K17" s="1"/>
  <c r="D28"/>
  <c r="C28"/>
  <c r="G28"/>
  <c r="D21"/>
  <c r="C21"/>
  <c r="L20"/>
  <c r="K20"/>
  <c r="J19"/>
  <c r="I19"/>
  <c r="H19"/>
  <c r="G19"/>
  <c r="F19"/>
  <c r="L19" s="1"/>
  <c r="E19"/>
  <c r="J18"/>
  <c r="I18"/>
  <c r="H18"/>
  <c r="G18"/>
  <c r="F18"/>
  <c r="E18"/>
  <c r="J16"/>
  <c r="I16"/>
  <c r="H16"/>
  <c r="G16"/>
  <c r="F16"/>
  <c r="L16" s="1"/>
  <c r="E16"/>
  <c r="K16" s="1"/>
  <c r="J15"/>
  <c r="I15"/>
  <c r="H15"/>
  <c r="G15"/>
  <c r="F15"/>
  <c r="E15"/>
  <c r="J14"/>
  <c r="J21" s="1"/>
  <c r="I14"/>
  <c r="I21" s="1"/>
  <c r="H14"/>
  <c r="G14"/>
  <c r="F14"/>
  <c r="L14" s="1"/>
  <c r="E14"/>
  <c r="K14" s="1"/>
  <c r="D11"/>
  <c r="C11"/>
  <c r="J10"/>
  <c r="I10"/>
  <c r="H10"/>
  <c r="G10"/>
  <c r="F10"/>
  <c r="E10"/>
  <c r="J9"/>
  <c r="I9"/>
  <c r="H9"/>
  <c r="G9"/>
  <c r="K9" s="1"/>
  <c r="F9"/>
  <c r="E9"/>
  <c r="J8"/>
  <c r="I8"/>
  <c r="H8"/>
  <c r="G8"/>
  <c r="F8"/>
  <c r="E8"/>
  <c r="E11" s="1"/>
  <c r="J7"/>
  <c r="I7"/>
  <c r="H7"/>
  <c r="G7"/>
  <c r="K7" s="1"/>
  <c r="F7"/>
  <c r="E7"/>
  <c r="J17" i="31"/>
  <c r="I17"/>
  <c r="H17"/>
  <c r="G17"/>
  <c r="F17"/>
  <c r="L17" s="1"/>
  <c r="E17"/>
  <c r="K17" s="1"/>
  <c r="K19" i="1"/>
  <c r="L19"/>
  <c r="D29" i="33"/>
  <c r="C29"/>
  <c r="J28"/>
  <c r="I28"/>
  <c r="H28"/>
  <c r="G28"/>
  <c r="F28"/>
  <c r="L28" s="1"/>
  <c r="E28"/>
  <c r="J27"/>
  <c r="I27"/>
  <c r="H27"/>
  <c r="G27"/>
  <c r="F27"/>
  <c r="L27" s="1"/>
  <c r="E27"/>
  <c r="K27" s="1"/>
  <c r="J26"/>
  <c r="J29" s="1"/>
  <c r="I26"/>
  <c r="I29" s="1"/>
  <c r="H26"/>
  <c r="G26"/>
  <c r="G29" s="1"/>
  <c r="F26"/>
  <c r="E26"/>
  <c r="E29" s="1"/>
  <c r="D21"/>
  <c r="C21"/>
  <c r="L20"/>
  <c r="K20"/>
  <c r="J19"/>
  <c r="I19"/>
  <c r="H19"/>
  <c r="G19"/>
  <c r="F19"/>
  <c r="L19" s="1"/>
  <c r="E19"/>
  <c r="K19" s="1"/>
  <c r="J18"/>
  <c r="I18"/>
  <c r="H18"/>
  <c r="G18"/>
  <c r="F18"/>
  <c r="E18"/>
  <c r="K18" s="1"/>
  <c r="J17"/>
  <c r="I17"/>
  <c r="H17"/>
  <c r="G17"/>
  <c r="F17"/>
  <c r="E17"/>
  <c r="K17" s="1"/>
  <c r="J16"/>
  <c r="I16"/>
  <c r="H16"/>
  <c r="G16"/>
  <c r="F16"/>
  <c r="E16"/>
  <c r="J15"/>
  <c r="I15"/>
  <c r="H15"/>
  <c r="G15"/>
  <c r="F15"/>
  <c r="L15" s="1"/>
  <c r="E15"/>
  <c r="K15" s="1"/>
  <c r="J14"/>
  <c r="I14"/>
  <c r="H14"/>
  <c r="G14"/>
  <c r="F14"/>
  <c r="L14" s="1"/>
  <c r="E14"/>
  <c r="J13"/>
  <c r="J21" s="1"/>
  <c r="I13"/>
  <c r="I21" s="1"/>
  <c r="H13"/>
  <c r="H21" s="1"/>
  <c r="G13"/>
  <c r="G21" s="1"/>
  <c r="F13"/>
  <c r="F21" s="1"/>
  <c r="E13"/>
  <c r="E21" s="1"/>
  <c r="D11"/>
  <c r="C11"/>
  <c r="J10"/>
  <c r="I10"/>
  <c r="H10"/>
  <c r="G10"/>
  <c r="K10" s="1"/>
  <c r="F10"/>
  <c r="E10"/>
  <c r="J9"/>
  <c r="I9"/>
  <c r="H9"/>
  <c r="L9" s="1"/>
  <c r="G9"/>
  <c r="F9"/>
  <c r="E9"/>
  <c r="J8"/>
  <c r="I8"/>
  <c r="H8"/>
  <c r="G8"/>
  <c r="F8"/>
  <c r="E8"/>
  <c r="J7"/>
  <c r="J11" s="1"/>
  <c r="J23" s="1"/>
  <c r="I7"/>
  <c r="I11" s="1"/>
  <c r="H7"/>
  <c r="L7" s="1"/>
  <c r="G7"/>
  <c r="F7"/>
  <c r="F11" s="1"/>
  <c r="E7"/>
  <c r="E11" s="1"/>
  <c r="D20" i="1"/>
  <c r="C20"/>
  <c r="J18"/>
  <c r="I18"/>
  <c r="H18"/>
  <c r="G18"/>
  <c r="F18"/>
  <c r="E18"/>
  <c r="L21" i="32"/>
  <c r="J21"/>
  <c r="H21"/>
  <c r="F21"/>
  <c r="D21"/>
  <c r="C21"/>
  <c r="L20"/>
  <c r="K20"/>
  <c r="J19"/>
  <c r="I19"/>
  <c r="H19"/>
  <c r="G19"/>
  <c r="F19"/>
  <c r="L19" s="1"/>
  <c r="E19"/>
  <c r="K19" s="1"/>
  <c r="J18"/>
  <c r="I18"/>
  <c r="H18"/>
  <c r="G18"/>
  <c r="F18"/>
  <c r="L18" s="1"/>
  <c r="E18"/>
  <c r="K18" s="1"/>
  <c r="D22" i="31"/>
  <c r="C22"/>
  <c r="L22" i="28"/>
  <c r="J22"/>
  <c r="H22"/>
  <c r="F22"/>
  <c r="K22"/>
  <c r="I22"/>
  <c r="G22"/>
  <c r="E22"/>
  <c r="L21" i="31"/>
  <c r="K21"/>
  <c r="J20"/>
  <c r="I20"/>
  <c r="H20"/>
  <c r="G20"/>
  <c r="F20"/>
  <c r="L20" s="1"/>
  <c r="E20"/>
  <c r="K20" s="1"/>
  <c r="J19"/>
  <c r="I19"/>
  <c r="H19"/>
  <c r="G19"/>
  <c r="F19"/>
  <c r="E19"/>
  <c r="D22" i="30"/>
  <c r="C22"/>
  <c r="L21"/>
  <c r="K21"/>
  <c r="J20"/>
  <c r="I20"/>
  <c r="H20"/>
  <c r="G20"/>
  <c r="F20"/>
  <c r="E20"/>
  <c r="K20" s="1"/>
  <c r="J19"/>
  <c r="I19"/>
  <c r="H19"/>
  <c r="G19"/>
  <c r="F19"/>
  <c r="L19" s="1"/>
  <c r="E19"/>
  <c r="J20" i="28"/>
  <c r="I20"/>
  <c r="J19"/>
  <c r="I19"/>
  <c r="H20"/>
  <c r="G20"/>
  <c r="H19"/>
  <c r="G19"/>
  <c r="F20"/>
  <c r="E20"/>
  <c r="K20" s="1"/>
  <c r="F19"/>
  <c r="E19"/>
  <c r="D22"/>
  <c r="C22"/>
  <c r="L20"/>
  <c r="L21"/>
  <c r="K21"/>
  <c r="D28" i="32"/>
  <c r="C28"/>
  <c r="J27"/>
  <c r="I27"/>
  <c r="H27"/>
  <c r="L27" s="1"/>
  <c r="G27"/>
  <c r="F27"/>
  <c r="E27"/>
  <c r="K27" s="1"/>
  <c r="J26"/>
  <c r="J28" s="1"/>
  <c r="I26"/>
  <c r="I28" s="1"/>
  <c r="H26"/>
  <c r="H28" s="1"/>
  <c r="G26"/>
  <c r="G28" s="1"/>
  <c r="F26"/>
  <c r="F28" s="1"/>
  <c r="E26"/>
  <c r="K26" s="1"/>
  <c r="J17"/>
  <c r="I17"/>
  <c r="H17"/>
  <c r="G17"/>
  <c r="F17"/>
  <c r="E17"/>
  <c r="K17" s="1"/>
  <c r="J16"/>
  <c r="I16"/>
  <c r="I21" s="1"/>
  <c r="H16"/>
  <c r="G16"/>
  <c r="G21" s="1"/>
  <c r="F16"/>
  <c r="E16"/>
  <c r="J15"/>
  <c r="I15"/>
  <c r="H15"/>
  <c r="G15"/>
  <c r="F15"/>
  <c r="L15" s="1"/>
  <c r="E15"/>
  <c r="K15" s="1"/>
  <c r="J14"/>
  <c r="I14"/>
  <c r="H14"/>
  <c r="G14"/>
  <c r="F14"/>
  <c r="E14"/>
  <c r="J13"/>
  <c r="I13"/>
  <c r="H13"/>
  <c r="G13"/>
  <c r="F13"/>
  <c r="L13" s="1"/>
  <c r="E13"/>
  <c r="K13" s="1"/>
  <c r="J12"/>
  <c r="I12"/>
  <c r="H12"/>
  <c r="G12"/>
  <c r="F12"/>
  <c r="E12"/>
  <c r="F10"/>
  <c r="D10"/>
  <c r="C10"/>
  <c r="J9"/>
  <c r="I9"/>
  <c r="H9"/>
  <c r="L9" s="1"/>
  <c r="G9"/>
  <c r="F9"/>
  <c r="E9"/>
  <c r="J8"/>
  <c r="I8"/>
  <c r="H8"/>
  <c r="G8"/>
  <c r="F8"/>
  <c r="E8"/>
  <c r="J7"/>
  <c r="J10" s="1"/>
  <c r="I7"/>
  <c r="I10" s="1"/>
  <c r="H7"/>
  <c r="L7" s="1"/>
  <c r="G7"/>
  <c r="F7"/>
  <c r="E7"/>
  <c r="E10" s="1"/>
  <c r="J28" i="31"/>
  <c r="I28"/>
  <c r="H28"/>
  <c r="G28"/>
  <c r="F28"/>
  <c r="L28" s="1"/>
  <c r="E28"/>
  <c r="K28" s="1"/>
  <c r="J18"/>
  <c r="I18"/>
  <c r="H18"/>
  <c r="G18"/>
  <c r="F18"/>
  <c r="E18"/>
  <c r="J27"/>
  <c r="I27"/>
  <c r="I29" s="1"/>
  <c r="H27"/>
  <c r="H29" s="1"/>
  <c r="G27"/>
  <c r="G29" s="1"/>
  <c r="F27"/>
  <c r="E27"/>
  <c r="E29" s="1"/>
  <c r="J18" i="30"/>
  <c r="I18"/>
  <c r="F18"/>
  <c r="E18"/>
  <c r="D29" i="31"/>
  <c r="C29"/>
  <c r="L27"/>
  <c r="L18"/>
  <c r="J16"/>
  <c r="I16"/>
  <c r="H16"/>
  <c r="G16"/>
  <c r="F16"/>
  <c r="E16"/>
  <c r="J15"/>
  <c r="I15"/>
  <c r="H15"/>
  <c r="G15"/>
  <c r="F15"/>
  <c r="L15" s="1"/>
  <c r="E15"/>
  <c r="J14"/>
  <c r="I14"/>
  <c r="H14"/>
  <c r="G14"/>
  <c r="F14"/>
  <c r="E14"/>
  <c r="D11"/>
  <c r="C11"/>
  <c r="J10"/>
  <c r="I10"/>
  <c r="H10"/>
  <c r="G10"/>
  <c r="F10"/>
  <c r="L10" s="1"/>
  <c r="E10"/>
  <c r="J9"/>
  <c r="I9"/>
  <c r="H9"/>
  <c r="G9"/>
  <c r="F9"/>
  <c r="E9"/>
  <c r="J8"/>
  <c r="I8"/>
  <c r="H8"/>
  <c r="G8"/>
  <c r="F8"/>
  <c r="L8" s="1"/>
  <c r="E8"/>
  <c r="J7"/>
  <c r="J11" s="1"/>
  <c r="I7"/>
  <c r="I11" s="1"/>
  <c r="H7"/>
  <c r="H11" s="1"/>
  <c r="G7"/>
  <c r="G11" s="1"/>
  <c r="F7"/>
  <c r="F11" s="1"/>
  <c r="E7"/>
  <c r="E11" s="1"/>
  <c r="E14" i="30"/>
  <c r="F14"/>
  <c r="G14"/>
  <c r="H14"/>
  <c r="I14"/>
  <c r="J14"/>
  <c r="D29"/>
  <c r="C29"/>
  <c r="J28"/>
  <c r="I28"/>
  <c r="H28"/>
  <c r="G28"/>
  <c r="F28"/>
  <c r="E28"/>
  <c r="J27"/>
  <c r="J29" s="1"/>
  <c r="I27"/>
  <c r="H27"/>
  <c r="H29" s="1"/>
  <c r="G27"/>
  <c r="G29" s="1"/>
  <c r="F27"/>
  <c r="L27" s="1"/>
  <c r="E27"/>
  <c r="H18"/>
  <c r="L18" s="1"/>
  <c r="G18"/>
  <c r="J17"/>
  <c r="I17"/>
  <c r="H17"/>
  <c r="G17"/>
  <c r="F17"/>
  <c r="E17"/>
  <c r="J16"/>
  <c r="I16"/>
  <c r="H16"/>
  <c r="G16"/>
  <c r="F16"/>
  <c r="E16"/>
  <c r="J15"/>
  <c r="I15"/>
  <c r="H15"/>
  <c r="G15"/>
  <c r="F15"/>
  <c r="E15"/>
  <c r="J13"/>
  <c r="J22" s="1"/>
  <c r="I13"/>
  <c r="I22" s="1"/>
  <c r="H13"/>
  <c r="H22" s="1"/>
  <c r="G13"/>
  <c r="G22" s="1"/>
  <c r="F13"/>
  <c r="F22" s="1"/>
  <c r="E13"/>
  <c r="E22" s="1"/>
  <c r="D11"/>
  <c r="C11"/>
  <c r="J10"/>
  <c r="I10"/>
  <c r="H10"/>
  <c r="G10"/>
  <c r="F10"/>
  <c r="E10"/>
  <c r="K10" s="1"/>
  <c r="J9"/>
  <c r="I9"/>
  <c r="H9"/>
  <c r="G9"/>
  <c r="F9"/>
  <c r="L9" s="1"/>
  <c r="E9"/>
  <c r="J8"/>
  <c r="I8"/>
  <c r="H8"/>
  <c r="G8"/>
  <c r="F8"/>
  <c r="E8"/>
  <c r="K8" s="1"/>
  <c r="J17" i="28"/>
  <c r="I17"/>
  <c r="H17"/>
  <c r="G17"/>
  <c r="F17"/>
  <c r="E17"/>
  <c r="L17"/>
  <c r="D29"/>
  <c r="C29"/>
  <c r="J28"/>
  <c r="I28"/>
  <c r="H28"/>
  <c r="G28"/>
  <c r="F28"/>
  <c r="E28"/>
  <c r="J27"/>
  <c r="J29" s="1"/>
  <c r="I27"/>
  <c r="H27"/>
  <c r="G27"/>
  <c r="F27"/>
  <c r="F29" s="1"/>
  <c r="E27"/>
  <c r="L19"/>
  <c r="J18"/>
  <c r="I18"/>
  <c r="H18"/>
  <c r="G18"/>
  <c r="F18"/>
  <c r="E18"/>
  <c r="J16"/>
  <c r="I16"/>
  <c r="H16"/>
  <c r="G16"/>
  <c r="F16"/>
  <c r="E16"/>
  <c r="J15"/>
  <c r="I15"/>
  <c r="H15"/>
  <c r="G15"/>
  <c r="F15"/>
  <c r="E15"/>
  <c r="J14"/>
  <c r="I14"/>
  <c r="H14"/>
  <c r="G14"/>
  <c r="F14"/>
  <c r="L14" s="1"/>
  <c r="E14"/>
  <c r="J13"/>
  <c r="I13"/>
  <c r="H13"/>
  <c r="G13"/>
  <c r="F13"/>
  <c r="E13"/>
  <c r="D11"/>
  <c r="C11"/>
  <c r="J10"/>
  <c r="I10"/>
  <c r="H10"/>
  <c r="G10"/>
  <c r="F10"/>
  <c r="E10"/>
  <c r="J9"/>
  <c r="I9"/>
  <c r="H9"/>
  <c r="G9"/>
  <c r="F9"/>
  <c r="L9" s="1"/>
  <c r="E9"/>
  <c r="J8"/>
  <c r="I8"/>
  <c r="H8"/>
  <c r="G8"/>
  <c r="F8"/>
  <c r="E8"/>
  <c r="J7"/>
  <c r="J11" s="1"/>
  <c r="I7"/>
  <c r="H7"/>
  <c r="G7"/>
  <c r="F7"/>
  <c r="F11" s="1"/>
  <c r="E7"/>
  <c r="L34" i="27"/>
  <c r="L35"/>
  <c r="L33"/>
  <c r="L32"/>
  <c r="J35"/>
  <c r="J34"/>
  <c r="J33"/>
  <c r="J32"/>
  <c r="I35"/>
  <c r="I34"/>
  <c r="I33"/>
  <c r="K33" s="1"/>
  <c r="I32"/>
  <c r="H35"/>
  <c r="H34"/>
  <c r="H33"/>
  <c r="H32"/>
  <c r="G32"/>
  <c r="K32" s="1"/>
  <c r="G33"/>
  <c r="G35"/>
  <c r="K35" s="1"/>
  <c r="G34"/>
  <c r="K34" s="1"/>
  <c r="K25" i="1" l="1"/>
  <c r="K9"/>
  <c r="L10"/>
  <c r="K14"/>
  <c r="L26"/>
  <c r="L15"/>
  <c r="K26"/>
  <c r="L9"/>
  <c r="K13"/>
  <c r="L13"/>
  <c r="L8"/>
  <c r="K15"/>
  <c r="K7"/>
  <c r="K10"/>
  <c r="L14"/>
  <c r="H11" i="39"/>
  <c r="E21"/>
  <c r="I21"/>
  <c r="I23" s="1"/>
  <c r="K17"/>
  <c r="J21"/>
  <c r="G21"/>
  <c r="G11"/>
  <c r="K18"/>
  <c r="E28"/>
  <c r="I28"/>
  <c r="F11"/>
  <c r="L18"/>
  <c r="F28"/>
  <c r="J28"/>
  <c r="L10"/>
  <c r="L16" i="38"/>
  <c r="I23"/>
  <c r="I25" s="1"/>
  <c r="J23"/>
  <c r="J25" s="1"/>
  <c r="H25"/>
  <c r="E23"/>
  <c r="E25" s="1"/>
  <c r="K16"/>
  <c r="K23" s="1"/>
  <c r="K14" i="39"/>
  <c r="K16"/>
  <c r="K19"/>
  <c r="K8"/>
  <c r="L14"/>
  <c r="L16"/>
  <c r="L19"/>
  <c r="I11"/>
  <c r="H21"/>
  <c r="H23" s="1"/>
  <c r="L9"/>
  <c r="J11"/>
  <c r="L11" s="1"/>
  <c r="K13"/>
  <c r="K9"/>
  <c r="K10"/>
  <c r="L13"/>
  <c r="F21"/>
  <c r="F23" s="1"/>
  <c r="J23"/>
  <c r="E23"/>
  <c r="K11"/>
  <c r="L7"/>
  <c r="K26"/>
  <c r="K28" s="1"/>
  <c r="L26"/>
  <c r="K7"/>
  <c r="F25" i="38"/>
  <c r="L11"/>
  <c r="K11"/>
  <c r="G23"/>
  <c r="G25" s="1"/>
  <c r="K28"/>
  <c r="K31" s="1"/>
  <c r="L13"/>
  <c r="L28"/>
  <c r="L31" s="1"/>
  <c r="K7"/>
  <c r="L7"/>
  <c r="E25" i="37"/>
  <c r="K11"/>
  <c r="I25"/>
  <c r="F25"/>
  <c r="L11"/>
  <c r="G25"/>
  <c r="K13"/>
  <c r="K23" s="1"/>
  <c r="K28"/>
  <c r="K30" s="1"/>
  <c r="L13"/>
  <c r="L23" s="1"/>
  <c r="L28"/>
  <c r="L30" s="1"/>
  <c r="K7"/>
  <c r="L7"/>
  <c r="G30" i="36"/>
  <c r="H30"/>
  <c r="K19"/>
  <c r="L7"/>
  <c r="L15"/>
  <c r="L17"/>
  <c r="L19"/>
  <c r="K14"/>
  <c r="K18"/>
  <c r="L8"/>
  <c r="L10"/>
  <c r="L20"/>
  <c r="E25"/>
  <c r="K11"/>
  <c r="F25"/>
  <c r="K13"/>
  <c r="K28"/>
  <c r="K30" s="1"/>
  <c r="H11"/>
  <c r="H25" s="1"/>
  <c r="L13"/>
  <c r="L23" s="1"/>
  <c r="L28"/>
  <c r="L30" s="1"/>
  <c r="K7"/>
  <c r="K8" i="35"/>
  <c r="L8"/>
  <c r="L10"/>
  <c r="L29"/>
  <c r="K7"/>
  <c r="K9"/>
  <c r="K15"/>
  <c r="K21"/>
  <c r="L7"/>
  <c r="L9"/>
  <c r="I25"/>
  <c r="J25"/>
  <c r="F25"/>
  <c r="G11"/>
  <c r="G25" s="1"/>
  <c r="K11"/>
  <c r="K13"/>
  <c r="K30"/>
  <c r="H11"/>
  <c r="H25" s="1"/>
  <c r="L13"/>
  <c r="L23" s="1"/>
  <c r="L30"/>
  <c r="H28" i="34"/>
  <c r="I11"/>
  <c r="J11"/>
  <c r="F11"/>
  <c r="L8"/>
  <c r="L10"/>
  <c r="K19"/>
  <c r="E21"/>
  <c r="E23" s="1"/>
  <c r="L7"/>
  <c r="L9"/>
  <c r="K15"/>
  <c r="K18"/>
  <c r="E28"/>
  <c r="I28"/>
  <c r="K13"/>
  <c r="K8"/>
  <c r="K10"/>
  <c r="L15"/>
  <c r="L18"/>
  <c r="F28"/>
  <c r="J28"/>
  <c r="L13"/>
  <c r="F21"/>
  <c r="F23" s="1"/>
  <c r="G21"/>
  <c r="J23"/>
  <c r="H21"/>
  <c r="I23"/>
  <c r="G11"/>
  <c r="K26"/>
  <c r="K28" s="1"/>
  <c r="H11"/>
  <c r="L26"/>
  <c r="L28" s="1"/>
  <c r="H22" i="31"/>
  <c r="H24" s="1"/>
  <c r="F22"/>
  <c r="F24" s="1"/>
  <c r="J22"/>
  <c r="L8" i="33"/>
  <c r="L10"/>
  <c r="L16"/>
  <c r="L18"/>
  <c r="F29"/>
  <c r="K7"/>
  <c r="K9"/>
  <c r="L17"/>
  <c r="H29"/>
  <c r="K8"/>
  <c r="K14"/>
  <c r="K16"/>
  <c r="K28"/>
  <c r="F20" i="1"/>
  <c r="J20"/>
  <c r="K18"/>
  <c r="G20"/>
  <c r="L18"/>
  <c r="H20"/>
  <c r="E20"/>
  <c r="I20"/>
  <c r="E23" i="33"/>
  <c r="I23"/>
  <c r="F23"/>
  <c r="G11"/>
  <c r="G23" s="1"/>
  <c r="K13"/>
  <c r="K21" s="1"/>
  <c r="K26"/>
  <c r="H11"/>
  <c r="H23" s="1"/>
  <c r="L13"/>
  <c r="L26"/>
  <c r="L29" s="1"/>
  <c r="K16" i="32"/>
  <c r="K21" s="1"/>
  <c r="E21"/>
  <c r="J23"/>
  <c r="F23"/>
  <c r="I23"/>
  <c r="G10"/>
  <c r="K8"/>
  <c r="K14"/>
  <c r="L14"/>
  <c r="L16"/>
  <c r="K9"/>
  <c r="L8"/>
  <c r="L17"/>
  <c r="K19" i="31"/>
  <c r="E22"/>
  <c r="E24" s="1"/>
  <c r="I22"/>
  <c r="I24" s="1"/>
  <c r="J29"/>
  <c r="L19"/>
  <c r="G22"/>
  <c r="G24" s="1"/>
  <c r="K14"/>
  <c r="K9"/>
  <c r="K15" i="30"/>
  <c r="L10"/>
  <c r="L16"/>
  <c r="K27"/>
  <c r="I29"/>
  <c r="L20"/>
  <c r="G11"/>
  <c r="K13"/>
  <c r="K19"/>
  <c r="L16" i="28"/>
  <c r="K28" i="32"/>
  <c r="E23"/>
  <c r="K12"/>
  <c r="E28"/>
  <c r="H10"/>
  <c r="H23" s="1"/>
  <c r="L12"/>
  <c r="K7"/>
  <c r="L26"/>
  <c r="L28" s="1"/>
  <c r="K8" i="31"/>
  <c r="K10"/>
  <c r="L14"/>
  <c r="L16"/>
  <c r="K16"/>
  <c r="L9"/>
  <c r="K15"/>
  <c r="L29"/>
  <c r="J24"/>
  <c r="K18"/>
  <c r="K17" i="30"/>
  <c r="L11" i="31"/>
  <c r="K11"/>
  <c r="F29"/>
  <c r="K7"/>
  <c r="K27"/>
  <c r="K29" s="1"/>
  <c r="L7"/>
  <c r="L14" i="30"/>
  <c r="K9"/>
  <c r="L15"/>
  <c r="L17"/>
  <c r="L28"/>
  <c r="L29" s="1"/>
  <c r="L8"/>
  <c r="K14"/>
  <c r="K16"/>
  <c r="K18"/>
  <c r="K28"/>
  <c r="K29" s="1"/>
  <c r="I11"/>
  <c r="E11"/>
  <c r="H11"/>
  <c r="F11"/>
  <c r="J11"/>
  <c r="E29"/>
  <c r="L13"/>
  <c r="F29"/>
  <c r="E11" i="28"/>
  <c r="I11"/>
  <c r="K14"/>
  <c r="K27"/>
  <c r="I29"/>
  <c r="G11"/>
  <c r="K10"/>
  <c r="K15"/>
  <c r="K18"/>
  <c r="G29"/>
  <c r="K28"/>
  <c r="K29" s="1"/>
  <c r="K8"/>
  <c r="H11"/>
  <c r="H24" s="1"/>
  <c r="L8"/>
  <c r="L10"/>
  <c r="F24"/>
  <c r="J24"/>
  <c r="L15"/>
  <c r="L18"/>
  <c r="H29"/>
  <c r="L28"/>
  <c r="K9"/>
  <c r="K16"/>
  <c r="K17"/>
  <c r="K19"/>
  <c r="L7"/>
  <c r="L27"/>
  <c r="K13"/>
  <c r="E29"/>
  <c r="L13"/>
  <c r="K7"/>
  <c r="L21" i="39" l="1"/>
  <c r="L23" s="1"/>
  <c r="L28"/>
  <c r="G23"/>
  <c r="K21"/>
  <c r="K23" s="1"/>
  <c r="L23" i="38"/>
  <c r="L25" s="1"/>
  <c r="K25"/>
  <c r="L22" i="30"/>
  <c r="K22"/>
  <c r="K11"/>
  <c r="K24" s="1"/>
  <c r="L11"/>
  <c r="G24"/>
  <c r="K25" i="37"/>
  <c r="L25"/>
  <c r="K23" i="36"/>
  <c r="K25" s="1"/>
  <c r="L11"/>
  <c r="L25" s="1"/>
  <c r="K23" i="35"/>
  <c r="K25" s="1"/>
  <c r="L11"/>
  <c r="L25" s="1"/>
  <c r="L21" i="34"/>
  <c r="K21"/>
  <c r="H23"/>
  <c r="G23"/>
  <c r="L11"/>
  <c r="L23" s="1"/>
  <c r="K11"/>
  <c r="K23" s="1"/>
  <c r="K29" i="33"/>
  <c r="L21"/>
  <c r="K11"/>
  <c r="K23" s="1"/>
  <c r="L11"/>
  <c r="L23" s="1"/>
  <c r="G23" i="32"/>
  <c r="K10"/>
  <c r="K23" s="1"/>
  <c r="K22" i="31"/>
  <c r="K24" s="1"/>
  <c r="L22"/>
  <c r="L24" s="1"/>
  <c r="I24" i="30"/>
  <c r="G24" i="28"/>
  <c r="I24"/>
  <c r="E24"/>
  <c r="L10" i="32"/>
  <c r="L23" s="1"/>
  <c r="E24" i="30"/>
  <c r="H24"/>
  <c r="L24"/>
  <c r="J24"/>
  <c r="F24"/>
  <c r="K11" i="28"/>
  <c r="L11"/>
  <c r="L29"/>
  <c r="L24" l="1"/>
  <c r="K24"/>
  <c r="D27" i="1" l="1"/>
  <c r="C27"/>
  <c r="J27"/>
  <c r="I27"/>
  <c r="H27"/>
  <c r="G27"/>
  <c r="F27"/>
  <c r="K27" l="1"/>
  <c r="E27"/>
  <c r="L27"/>
  <c r="D11" l="1"/>
  <c r="C11"/>
  <c r="L20" l="1"/>
  <c r="K20"/>
  <c r="J11" l="1"/>
  <c r="J22" s="1"/>
  <c r="I11"/>
  <c r="I22" s="1"/>
  <c r="H11"/>
  <c r="H22" s="1"/>
  <c r="G11"/>
  <c r="G22" s="1"/>
  <c r="F11"/>
  <c r="F22" s="1"/>
  <c r="E11"/>
  <c r="E22" s="1"/>
  <c r="K11" l="1"/>
  <c r="K22" s="1"/>
  <c r="L11"/>
  <c r="L22" s="1"/>
</calcChain>
</file>

<file path=xl/sharedStrings.xml><?xml version="1.0" encoding="utf-8"?>
<sst xmlns="http://schemas.openxmlformats.org/spreadsheetml/2006/main" count="831" uniqueCount="273">
  <si>
    <t>№ рец.</t>
  </si>
  <si>
    <t>Наименование блюда</t>
  </si>
  <si>
    <t>Батон нарезной</t>
  </si>
  <si>
    <t>Какао с молоком</t>
  </si>
  <si>
    <t>Жиры,гр.</t>
  </si>
  <si>
    <t>Белки,гр.</t>
  </si>
  <si>
    <t>Углеводы,гр.</t>
  </si>
  <si>
    <t>Энергетическая ценность (ккал)</t>
  </si>
  <si>
    <t>Выход,гр.</t>
  </si>
  <si>
    <t>Пищевые вещества.</t>
  </si>
  <si>
    <t>ЗАВТРАК</t>
  </si>
  <si>
    <t>ОБЕД</t>
  </si>
  <si>
    <t>Салат из свеклы с сыром и чесноком</t>
  </si>
  <si>
    <t>Рассольник ленинградский</t>
  </si>
  <si>
    <t>Макаронные изделия отварные</t>
  </si>
  <si>
    <t>Чай с лимоном</t>
  </si>
  <si>
    <t>ИТОГО ЗА ДЕНЬ:</t>
  </si>
  <si>
    <t>Булочка "Веснушка"</t>
  </si>
  <si>
    <t>ИТОГО ПОЛДНИК:</t>
  </si>
  <si>
    <t>ИТОГО  ЗАВТРАК:</t>
  </si>
  <si>
    <t>ИТОГО  ОБЕД:</t>
  </si>
  <si>
    <t>Икра кабачковая</t>
  </si>
  <si>
    <t>Щи из свежей капусты с картофелем</t>
  </si>
  <si>
    <t>Запеканка из творога</t>
  </si>
  <si>
    <t>Соус томатный</t>
  </si>
  <si>
    <t>Кофейный напиток с молоком</t>
  </si>
  <si>
    <t>Капуста тушеная</t>
  </si>
  <si>
    <t>Суп молочный с макаронными изделиями</t>
  </si>
  <si>
    <t>Борщ с капустой и картофелем</t>
  </si>
  <si>
    <t>Мясо тушеное с овощами в соусе</t>
  </si>
  <si>
    <t>РЕКОМЕНДУЕТСЯ:</t>
  </si>
  <si>
    <t>Пюре из бобовых с маслом</t>
  </si>
  <si>
    <t>Голубцы "Уралочка"</t>
  </si>
  <si>
    <t>Яйцо отварное (1/2)</t>
  </si>
  <si>
    <t>день</t>
  </si>
  <si>
    <t>ГПД</t>
  </si>
  <si>
    <t>закуска</t>
  </si>
  <si>
    <t>каша (завтрак)</t>
  </si>
  <si>
    <t>напиток</t>
  </si>
  <si>
    <t>суп</t>
  </si>
  <si>
    <t>гарнир</t>
  </si>
  <si>
    <t>рыба</t>
  </si>
  <si>
    <t>мясо гов</t>
  </si>
  <si>
    <t>кура</t>
  </si>
  <si>
    <t>фрукт</t>
  </si>
  <si>
    <t>выпечка</t>
  </si>
  <si>
    <t>1 день</t>
  </si>
  <si>
    <t>яйцо отварное</t>
  </si>
  <si>
    <t>каша гречневая</t>
  </si>
  <si>
    <t>чай с сахаром</t>
  </si>
  <si>
    <t>свекла с сыром и чесноком</t>
  </si>
  <si>
    <t xml:space="preserve">гороховый </t>
  </si>
  <si>
    <t>макароны</t>
  </si>
  <si>
    <t xml:space="preserve">биточки </t>
  </si>
  <si>
    <t>компот из с/ф</t>
  </si>
  <si>
    <t>яблоко</t>
  </si>
  <si>
    <t>сдоба</t>
  </si>
  <si>
    <t>2 день</t>
  </si>
  <si>
    <t>сыр</t>
  </si>
  <si>
    <t>каша рисовая</t>
  </si>
  <si>
    <t>кофейный напиток</t>
  </si>
  <si>
    <t>Салат картофельный из сол.огур и зел.гор</t>
  </si>
  <si>
    <t>рассольник ленинградский</t>
  </si>
  <si>
    <t>капусты тушеная</t>
  </si>
  <si>
    <t>компот из изюма</t>
  </si>
  <si>
    <t>банан</t>
  </si>
  <si>
    <t>чай с лимоном</t>
  </si>
  <si>
    <t>3 день</t>
  </si>
  <si>
    <t>масло</t>
  </si>
  <si>
    <t>каша ячневая</t>
  </si>
  <si>
    <t>какао с молоком</t>
  </si>
  <si>
    <t>нарезка из св.огурцов</t>
  </si>
  <si>
    <t>суп с лапшой</t>
  </si>
  <si>
    <t>картофельное пюре</t>
  </si>
  <si>
    <t>котлета рыбная</t>
  </si>
  <si>
    <t>апельсин</t>
  </si>
  <si>
    <t>гребешок с повидлом</t>
  </si>
  <si>
    <t>чай с молоком</t>
  </si>
  <si>
    <t>4 день</t>
  </si>
  <si>
    <t>творожная запеканка</t>
  </si>
  <si>
    <t>икра кабачковая</t>
  </si>
  <si>
    <t>борщ с капустой и картофелем</t>
  </si>
  <si>
    <t>гуляш</t>
  </si>
  <si>
    <t>груша</t>
  </si>
  <si>
    <t>пирожок с капустой</t>
  </si>
  <si>
    <t xml:space="preserve"> 5 день</t>
  </si>
  <si>
    <t>каша пшенная</t>
  </si>
  <si>
    <t>нарезка помидоры</t>
  </si>
  <si>
    <t>уха со взбитым яйцом</t>
  </si>
  <si>
    <t>рагу овощное</t>
  </si>
  <si>
    <t>компот из кураги</t>
  </si>
  <si>
    <t>суп молочный</t>
  </si>
  <si>
    <t>6 день</t>
  </si>
  <si>
    <t>каша манная</t>
  </si>
  <si>
    <t>суп крестьянский с крупой</t>
  </si>
  <si>
    <t>плов из птицы</t>
  </si>
  <si>
    <t>напиток из шиповника</t>
  </si>
  <si>
    <t>коржик молочный</t>
  </si>
  <si>
    <t>7 день</t>
  </si>
  <si>
    <t>каша дружба</t>
  </si>
  <si>
    <t>щи с капустой и картофелем</t>
  </si>
  <si>
    <t>каша пшеничная</t>
  </si>
  <si>
    <t>булочка веснушка</t>
  </si>
  <si>
    <t>8 день</t>
  </si>
  <si>
    <t>салат из квашенной капусты</t>
  </si>
  <si>
    <t>картофельный с крупой</t>
  </si>
  <si>
    <t>пюре гороховое</t>
  </si>
  <si>
    <t xml:space="preserve">   </t>
  </si>
  <si>
    <t xml:space="preserve"> 9 день</t>
  </si>
  <si>
    <t>голубцы уралочка</t>
  </si>
  <si>
    <t>оладьи</t>
  </si>
  <si>
    <t>10 день</t>
  </si>
  <si>
    <t>Агыгчи шыд</t>
  </si>
  <si>
    <t>рыбное суфле</t>
  </si>
  <si>
    <t>11 день</t>
  </si>
  <si>
    <t>омлет</t>
  </si>
  <si>
    <t>суп картофельный с клецками</t>
  </si>
  <si>
    <t>рис припущенный</t>
  </si>
  <si>
    <t>перепечи с картошкой</t>
  </si>
  <si>
    <t>12 день</t>
  </si>
  <si>
    <t>каша геркулесовая</t>
  </si>
  <si>
    <t>пирожок рис с яйцом</t>
  </si>
  <si>
    <t>Сезон: весна-лето</t>
  </si>
  <si>
    <t>Возрастная катекогия: (7-11 лет)/(12 лет и старше)</t>
  </si>
  <si>
    <t>121/2008</t>
  </si>
  <si>
    <t>Каша гречневая на  молоке (вязкая)</t>
  </si>
  <si>
    <t>12 и ст</t>
  </si>
  <si>
    <t>12 л и старше</t>
  </si>
  <si>
    <t>7-11 лет</t>
  </si>
  <si>
    <t>146/2008</t>
  </si>
  <si>
    <t>130/2013</t>
  </si>
  <si>
    <t>37/2013</t>
  </si>
  <si>
    <t>47/2008</t>
  </si>
  <si>
    <t>Суп картофельный с бобовыми</t>
  </si>
  <si>
    <t>97/2008</t>
  </si>
  <si>
    <t>Биточки</t>
  </si>
  <si>
    <t>153/2008г</t>
  </si>
  <si>
    <t>Компот из сухофруктов</t>
  </si>
  <si>
    <t>291/2013г</t>
  </si>
  <si>
    <t>Булочка ванильная</t>
  </si>
  <si>
    <t>261/2013г.</t>
  </si>
  <si>
    <t xml:space="preserve"> Чай с сахаром</t>
  </si>
  <si>
    <t>показатели</t>
  </si>
  <si>
    <t>белки</t>
  </si>
  <si>
    <t>жиры</t>
  </si>
  <si>
    <t>углеводы</t>
  </si>
  <si>
    <t>ЭЦ</t>
  </si>
  <si>
    <t>обед 12 и ст</t>
  </si>
  <si>
    <t>обед 7-11</t>
  </si>
  <si>
    <t>завтрак 7-11</t>
  </si>
  <si>
    <t>завтрак 12 и ст</t>
  </si>
  <si>
    <t>за день 7-11</t>
  </si>
  <si>
    <t>за день 12 и ст</t>
  </si>
  <si>
    <t>130/2008г</t>
  </si>
  <si>
    <t>Каша рисовая молочная жидкая</t>
  </si>
  <si>
    <t>Сыр порционно</t>
  </si>
  <si>
    <t>6/2013г</t>
  </si>
  <si>
    <t>268/2017</t>
  </si>
  <si>
    <t>148/2008г</t>
  </si>
  <si>
    <t>Салат картофельный с солеными огурцами и зеленым горошком</t>
  </si>
  <si>
    <t>60/2013г</t>
  </si>
  <si>
    <t>Сметана 15% (для отпуска блюда)</t>
  </si>
  <si>
    <t>84/2013г</t>
  </si>
  <si>
    <t>Тефтели 2-й вариант</t>
  </si>
  <si>
    <t>279/2017г</t>
  </si>
  <si>
    <t>141/2008г</t>
  </si>
  <si>
    <t>Ватрушка с повидлом</t>
  </si>
  <si>
    <t>410/2017г</t>
  </si>
  <si>
    <t>42/2013г.</t>
  </si>
  <si>
    <t>День недели: вторник</t>
  </si>
  <si>
    <t>Неделя: первая, третья</t>
  </si>
  <si>
    <t>День недели: понедельник</t>
  </si>
  <si>
    <t>День недели: среда</t>
  </si>
  <si>
    <t>123/2008г</t>
  </si>
  <si>
    <t>Каша ячневая молочная вязкая</t>
  </si>
  <si>
    <t>149/2008г</t>
  </si>
  <si>
    <t>Масло порционно</t>
  </si>
  <si>
    <t>5/2013г</t>
  </si>
  <si>
    <t>Огурцы свежие порционно</t>
  </si>
  <si>
    <t>46/2008г</t>
  </si>
  <si>
    <t>Суп картофельный с макаронными изделиями</t>
  </si>
  <si>
    <t>92/2008г</t>
  </si>
  <si>
    <t>Картофельное пюре</t>
  </si>
  <si>
    <t>88/2008г</t>
  </si>
  <si>
    <t>Котлета рыбная "Нептун"</t>
  </si>
  <si>
    <t>Компот из чернослива, кураги, изюма</t>
  </si>
  <si>
    <t>155/2008г.</t>
  </si>
  <si>
    <t>ватрушка с повидлом</t>
  </si>
  <si>
    <t>285/2013г</t>
  </si>
  <si>
    <t xml:space="preserve">Гребешок </t>
  </si>
  <si>
    <t>пирожок с картошкой</t>
  </si>
  <si>
    <t>293/2013г</t>
  </si>
  <si>
    <t>267/2013г</t>
  </si>
  <si>
    <t>Напиток из подов шиповника</t>
  </si>
  <si>
    <t>106/2008г</t>
  </si>
  <si>
    <t>День недели: четверг</t>
  </si>
  <si>
    <t>39/2008г</t>
  </si>
  <si>
    <t>103/2013г</t>
  </si>
  <si>
    <t>Каша гречневая рассыпчатая</t>
  </si>
  <si>
    <t>63/2008г</t>
  </si>
  <si>
    <t>Гуляш</t>
  </si>
  <si>
    <t>Пирожки печеные с капустой</t>
  </si>
  <si>
    <t>406/2017г</t>
  </si>
  <si>
    <t>146/2008г</t>
  </si>
  <si>
    <t>127/2008г</t>
  </si>
  <si>
    <t>Каша пшённая молочная жидкая</t>
  </si>
  <si>
    <t>Помидоры свежие порционно</t>
  </si>
  <si>
    <t>60/2008г</t>
  </si>
  <si>
    <t>Уха со взбитым яйцом</t>
  </si>
  <si>
    <t>87/2013г</t>
  </si>
  <si>
    <t>Рагу из овощей</t>
  </si>
  <si>
    <t>колобки мясо-картофельные</t>
  </si>
  <si>
    <t>Зразы из говядины с яйцом</t>
  </si>
  <si>
    <t>73/2008г</t>
  </si>
  <si>
    <t>зразы из гов. с яйцом</t>
  </si>
  <si>
    <t>68/2013г</t>
  </si>
  <si>
    <t>Хлеб пшеничный</t>
  </si>
  <si>
    <t>Хлеб ржаной</t>
  </si>
  <si>
    <t>День недели: пятница</t>
  </si>
  <si>
    <t>125/2008г</t>
  </si>
  <si>
    <t xml:space="preserve">Каша манная молочная жидкая </t>
  </si>
  <si>
    <t>Суп крестьянский с крупой</t>
  </si>
  <si>
    <t>48/2008г</t>
  </si>
  <si>
    <t>Плов</t>
  </si>
  <si>
    <t>265/2017г</t>
  </si>
  <si>
    <t>Салат из квашеной капусты</t>
  </si>
  <si>
    <t>17/2008г</t>
  </si>
  <si>
    <t>182/2008г</t>
  </si>
  <si>
    <t>Коржик молочный</t>
  </si>
  <si>
    <t>День недели: суббота</t>
  </si>
  <si>
    <t>119/2008г</t>
  </si>
  <si>
    <t xml:space="preserve">Каша "Дружба" вязкая </t>
  </si>
  <si>
    <t>41/2008г</t>
  </si>
  <si>
    <t xml:space="preserve">Каша пшеничная жидкая </t>
  </si>
  <si>
    <t>111/2013г</t>
  </si>
  <si>
    <t>Колобки мясо-картофельные</t>
  </si>
  <si>
    <t>74/2008г</t>
  </si>
  <si>
    <t>Неделя: вторая,четвертая</t>
  </si>
  <si>
    <t>Пирожки печеные с картошкой</t>
  </si>
  <si>
    <t>62/2013г</t>
  </si>
  <si>
    <t>Суп картофельный с крупой</t>
  </si>
  <si>
    <t>120/2013г</t>
  </si>
  <si>
    <t>Котлеты рубленые из птицы</t>
  </si>
  <si>
    <t>202/2013г</t>
  </si>
  <si>
    <t>котлеты рубленые из птицы</t>
  </si>
  <si>
    <t>191/2013г</t>
  </si>
  <si>
    <t>275/2013г</t>
  </si>
  <si>
    <t xml:space="preserve">Оладьи с повидлом </t>
  </si>
  <si>
    <t>Фрукт</t>
  </si>
  <si>
    <t>128/2008г</t>
  </si>
  <si>
    <t>Каша пшеничная молочная жидкая</t>
  </si>
  <si>
    <t>Агырчи шыд</t>
  </si>
  <si>
    <t>44/2008г</t>
  </si>
  <si>
    <t>Суфле из рыбы</t>
  </si>
  <si>
    <t>171/2013г</t>
  </si>
  <si>
    <t>112/2008г</t>
  </si>
  <si>
    <t>Омлет натуральный</t>
  </si>
  <si>
    <t>65/2013г</t>
  </si>
  <si>
    <t>Суп картофельный с клёцками</t>
  </si>
  <si>
    <t>94/2008</t>
  </si>
  <si>
    <t>Рис припущеный</t>
  </si>
  <si>
    <t>Птица в соусе с томатом</t>
  </si>
  <si>
    <t>201/2013г</t>
  </si>
  <si>
    <t>Салат из свеклы отварной</t>
  </si>
  <si>
    <t>34/2013г</t>
  </si>
  <si>
    <t>Перепечи с картофелем</t>
  </si>
  <si>
    <t>175/2008г</t>
  </si>
  <si>
    <t>129/2008г</t>
  </si>
  <si>
    <t>Каша овсянная "Геркулес" жидкая</t>
  </si>
  <si>
    <t>Пирожки печеные с рисом и яйцом</t>
  </si>
  <si>
    <t>175/2013г</t>
  </si>
  <si>
    <t>мясо тушенное с овощами</t>
  </si>
  <si>
    <t>тефтели 2-й вар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</si>
</sst>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u/>
      <sz val="11"/>
      <color rgb="FF7030A0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145">
    <xf numFmtId="0" fontId="0" fillId="0" borderId="0" xfId="0"/>
    <xf numFmtId="0" fontId="0" fillId="0" borderId="0" xfId="0" applyBorder="1"/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/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/>
    <xf numFmtId="2" fontId="2" fillId="3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0" fillId="0" borderId="0" xfId="0"/>
    <xf numFmtId="2" fontId="1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164" fontId="1" fillId="4" borderId="1" xfId="0" applyNumberFormat="1" applyFont="1" applyFill="1" applyBorder="1" applyAlignment="1">
      <alignment horizontal="center"/>
    </xf>
    <xf numFmtId="1" fontId="1" fillId="4" borderId="2" xfId="0" applyNumberFormat="1" applyFont="1" applyFill="1" applyBorder="1" applyAlignment="1">
      <alignment horizontal="center"/>
    </xf>
    <xf numFmtId="1" fontId="1" fillId="4" borderId="2" xfId="0" applyNumberFormat="1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/>
    </xf>
    <xf numFmtId="1" fontId="2" fillId="4" borderId="2" xfId="0" applyNumberFormat="1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1" fontId="1" fillId="4" borderId="1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164" fontId="1" fillId="4" borderId="1" xfId="0" applyNumberFormat="1" applyFont="1" applyFill="1" applyBorder="1" applyAlignment="1">
      <alignment horizontal="center" vertical="center"/>
    </xf>
    <xf numFmtId="1" fontId="2" fillId="4" borderId="1" xfId="0" applyNumberFormat="1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2" borderId="4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2" fontId="2" fillId="3" borderId="4" xfId="0" applyNumberFormat="1" applyFont="1" applyFill="1" applyBorder="1" applyAlignment="1">
      <alignment horizontal="center"/>
    </xf>
    <xf numFmtId="2" fontId="2" fillId="4" borderId="4" xfId="0" applyNumberFormat="1" applyFont="1" applyFill="1" applyBorder="1" applyAlignment="1">
      <alignment horizontal="center"/>
    </xf>
    <xf numFmtId="0" fontId="0" fillId="0" borderId="0" xfId="0"/>
    <xf numFmtId="0" fontId="3" fillId="0" borderId="0" xfId="0" applyFont="1" applyBorder="1"/>
    <xf numFmtId="164" fontId="0" fillId="0" borderId="0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0" fillId="0" borderId="0" xfId="0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2" fontId="0" fillId="0" borderId="0" xfId="0" applyNumberFormat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/>
    </xf>
    <xf numFmtId="0" fontId="0" fillId="2" borderId="0" xfId="0" applyFill="1" applyBorder="1"/>
    <xf numFmtId="2" fontId="2" fillId="2" borderId="0" xfId="0" applyNumberFormat="1" applyFont="1" applyFill="1" applyBorder="1" applyAlignment="1">
      <alignment horizontal="center"/>
    </xf>
    <xf numFmtId="1" fontId="1" fillId="4" borderId="1" xfId="0" applyNumberFormat="1" applyFont="1" applyFill="1" applyBorder="1" applyAlignment="1">
      <alignment horizontal="center" vertical="center"/>
    </xf>
    <xf numFmtId="0" fontId="5" fillId="0" borderId="0" xfId="0" applyFont="1"/>
    <xf numFmtId="0" fontId="5" fillId="0" borderId="8" xfId="0" applyFont="1" applyBorder="1"/>
    <xf numFmtId="0" fontId="2" fillId="0" borderId="2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5" fillId="0" borderId="0" xfId="0" applyFont="1"/>
    <xf numFmtId="0" fontId="5" fillId="0" borderId="8" xfId="0" applyFont="1" applyBorder="1"/>
    <xf numFmtId="0" fontId="2" fillId="3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2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2" fillId="5" borderId="14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0" fontId="2" fillId="5" borderId="15" xfId="0" applyFont="1" applyFill="1" applyBorder="1" applyAlignment="1">
      <alignment horizontal="center"/>
    </xf>
    <xf numFmtId="0" fontId="2" fillId="5" borderId="16" xfId="0" applyFont="1" applyFill="1" applyBorder="1" applyAlignment="1">
      <alignment horizontal="center"/>
    </xf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2" fontId="2" fillId="3" borderId="1" xfId="0" applyNumberFormat="1" applyFont="1" applyFill="1" applyBorder="1" applyAlignment="1">
      <alignment horizontal="center" textRotation="90"/>
    </xf>
    <xf numFmtId="0" fontId="2" fillId="4" borderId="2" xfId="0" applyFont="1" applyFill="1" applyBorder="1" applyAlignment="1">
      <alignment horizontal="center" textRotation="90"/>
    </xf>
    <xf numFmtId="0" fontId="2" fillId="4" borderId="1" xfId="0" applyFont="1" applyFill="1" applyBorder="1" applyAlignment="1">
      <alignment horizontal="center" textRotation="90"/>
    </xf>
    <xf numFmtId="2" fontId="1" fillId="2" borderId="1" xfId="0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2" fontId="1" fillId="3" borderId="1" xfId="0" applyNumberFormat="1" applyFont="1" applyFill="1" applyBorder="1" applyAlignment="1">
      <alignment horizontal="center" vertical="center"/>
    </xf>
    <xf numFmtId="2" fontId="1" fillId="4" borderId="1" xfId="0" applyNumberFormat="1" applyFont="1" applyFill="1" applyBorder="1" applyAlignment="1">
      <alignment horizontal="center" vertical="center"/>
    </xf>
    <xf numFmtId="0" fontId="5" fillId="0" borderId="8" xfId="0" applyFont="1" applyBorder="1" applyAlignment="1"/>
    <xf numFmtId="0" fontId="1" fillId="2" borderId="1" xfId="0" applyFont="1" applyFill="1" applyBorder="1" applyAlignment="1">
      <alignment horizontal="left" vertical="center" wrapText="1"/>
    </xf>
    <xf numFmtId="0" fontId="5" fillId="2" borderId="0" xfId="0" applyFont="1" applyFill="1" applyBorder="1"/>
    <xf numFmtId="0" fontId="2" fillId="5" borderId="9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/>
    </xf>
    <xf numFmtId="0" fontId="6" fillId="6" borderId="10" xfId="0" applyFont="1" applyFill="1" applyBorder="1" applyAlignment="1">
      <alignment horizontal="center"/>
    </xf>
    <xf numFmtId="0" fontId="6" fillId="6" borderId="11" xfId="0" applyFont="1" applyFill="1" applyBorder="1" applyAlignment="1">
      <alignment horizontal="center"/>
    </xf>
    <xf numFmtId="0" fontId="6" fillId="6" borderId="12" xfId="0" applyFont="1" applyFill="1" applyBorder="1" applyAlignment="1">
      <alignment horizontal="center"/>
    </xf>
    <xf numFmtId="0" fontId="8" fillId="2" borderId="17" xfId="1" applyFont="1" applyFill="1" applyBorder="1" applyAlignment="1" applyProtection="1">
      <alignment horizontal="center" vertical="center"/>
    </xf>
    <xf numFmtId="0" fontId="8" fillId="2" borderId="24" xfId="1" applyFont="1" applyFill="1" applyBorder="1" applyAlignment="1" applyProtection="1">
      <alignment horizontal="center" vertical="center"/>
    </xf>
    <xf numFmtId="0" fontId="7" fillId="2" borderId="9" xfId="1" applyFont="1" applyFill="1" applyBorder="1" applyAlignment="1" applyProtection="1">
      <alignment horizontal="center" vertical="center"/>
    </xf>
    <xf numFmtId="0" fontId="7" fillId="2" borderId="24" xfId="1" applyFont="1" applyFill="1" applyBorder="1" applyAlignment="1" applyProtection="1">
      <alignment horizontal="center" vertical="center"/>
    </xf>
    <xf numFmtId="0" fontId="8" fillId="2" borderId="9" xfId="1" applyFont="1" applyFill="1" applyBorder="1" applyAlignment="1" applyProtection="1">
      <alignment horizontal="center" vertical="center"/>
    </xf>
    <xf numFmtId="0" fontId="7" fillId="2" borderId="17" xfId="1" applyFont="1" applyFill="1" applyBorder="1" applyAlignment="1" applyProtection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5" fillId="0" borderId="0" xfId="0" applyFont="1"/>
    <xf numFmtId="0" fontId="0" fillId="0" borderId="0" xfId="0"/>
    <xf numFmtId="0" fontId="5" fillId="0" borderId="8" xfId="0" applyFont="1" applyBorder="1"/>
    <xf numFmtId="0" fontId="2" fillId="3" borderId="4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wrapText="1"/>
    </xf>
    <xf numFmtId="0" fontId="1" fillId="2" borderId="26" xfId="0" applyFont="1" applyFill="1" applyBorder="1" applyAlignment="1">
      <alignment horizontal="center" wrapText="1"/>
    </xf>
    <xf numFmtId="0" fontId="4" fillId="2" borderId="18" xfId="0" applyFont="1" applyFill="1" applyBorder="1" applyAlignment="1">
      <alignment horizontal="center" vertical="center" wrapText="1"/>
    </xf>
    <xf numFmtId="0" fontId="1" fillId="2" borderId="19" xfId="0" applyFont="1" applyFill="1" applyBorder="1"/>
    <xf numFmtId="0" fontId="1" fillId="2" borderId="26" xfId="0" applyFont="1" applyFill="1" applyBorder="1"/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mruColors>
      <color rgb="FF99FF99"/>
      <color rgb="FF99FFCC"/>
      <color rgb="FFFFFF66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65"/>
  <sheetViews>
    <sheetView tabSelected="1" zoomScale="90" zoomScaleNormal="90" workbookViewId="0">
      <selection activeCell="J6" sqref="J6:J7"/>
    </sheetView>
  </sheetViews>
  <sheetFormatPr defaultRowHeight="15"/>
  <cols>
    <col min="1" max="1" width="3.42578125" style="41" customWidth="1"/>
    <col min="2" max="2" width="8.42578125" style="41" customWidth="1"/>
    <col min="3" max="3" width="10.140625" style="41" customWidth="1"/>
    <col min="4" max="4" width="12.42578125" style="41" customWidth="1"/>
    <col min="5" max="5" width="10.42578125" style="41" customWidth="1"/>
    <col min="6" max="6" width="15.28515625" style="41" customWidth="1"/>
    <col min="7" max="7" width="17.140625" style="41" customWidth="1"/>
    <col min="8" max="8" width="13.42578125" style="41" customWidth="1"/>
    <col min="9" max="9" width="10.7109375" style="41" customWidth="1"/>
    <col min="10" max="10" width="11.7109375" style="41" customWidth="1"/>
    <col min="11" max="11" width="11.140625" style="41" customWidth="1"/>
    <col min="12" max="12" width="13.28515625" style="41" customWidth="1"/>
    <col min="13" max="13" width="9.42578125" style="41" customWidth="1"/>
    <col min="14" max="14" width="13.7109375" style="41" customWidth="1"/>
    <col min="15" max="15" width="11.85546875" style="41" customWidth="1"/>
    <col min="16" max="16" width="20.7109375" style="41" customWidth="1"/>
    <col min="17" max="17" width="7.28515625" style="41" customWidth="1"/>
    <col min="18" max="21" width="9.140625" style="41"/>
    <col min="22" max="22" width="19.7109375" style="41" customWidth="1"/>
    <col min="23" max="23" width="7.7109375" style="41" customWidth="1"/>
    <col min="24" max="24" width="9.140625" style="41"/>
    <col min="25" max="25" width="7.7109375" style="41" customWidth="1"/>
    <col min="26" max="16384" width="9.140625" style="41"/>
  </cols>
  <sheetData>
    <row r="1" spans="2:27" ht="16.5" thickBot="1">
      <c r="B1" s="87"/>
      <c r="C1" s="87"/>
      <c r="D1" s="87"/>
      <c r="E1" s="87"/>
      <c r="F1" s="87"/>
      <c r="G1" s="87"/>
      <c r="H1" s="87"/>
      <c r="I1" s="87"/>
      <c r="J1" s="52"/>
      <c r="K1" s="52"/>
      <c r="L1" s="52"/>
      <c r="M1" s="52"/>
      <c r="N1" s="52"/>
      <c r="O1" s="52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2:27">
      <c r="B2" s="88" t="s">
        <v>34</v>
      </c>
      <c r="C2" s="90" t="s">
        <v>10</v>
      </c>
      <c r="D2" s="91"/>
      <c r="E2" s="92"/>
      <c r="F2" s="90" t="s">
        <v>11</v>
      </c>
      <c r="G2" s="91"/>
      <c r="H2" s="91"/>
      <c r="I2" s="91"/>
      <c r="J2" s="91"/>
      <c r="K2" s="91"/>
      <c r="L2" s="91"/>
      <c r="M2" s="92"/>
      <c r="N2" s="90" t="s">
        <v>35</v>
      </c>
      <c r="O2" s="92"/>
      <c r="P2" s="36"/>
      <c r="Q2" s="36"/>
      <c r="R2" s="1"/>
      <c r="S2" s="1"/>
      <c r="T2" s="1"/>
      <c r="U2" s="1"/>
      <c r="V2" s="36"/>
      <c r="W2" s="36"/>
      <c r="X2" s="1"/>
      <c r="Y2" s="1"/>
      <c r="Z2" s="1"/>
      <c r="AA2" s="1"/>
    </row>
    <row r="3" spans="2:27" ht="15" customHeight="1" thickBot="1">
      <c r="B3" s="89"/>
      <c r="C3" s="69" t="s">
        <v>36</v>
      </c>
      <c r="D3" s="70" t="s">
        <v>37</v>
      </c>
      <c r="E3" s="71" t="s">
        <v>38</v>
      </c>
      <c r="F3" s="69" t="s">
        <v>36</v>
      </c>
      <c r="G3" s="70" t="s">
        <v>39</v>
      </c>
      <c r="H3" s="70" t="s">
        <v>40</v>
      </c>
      <c r="I3" s="70" t="s">
        <v>41</v>
      </c>
      <c r="J3" s="70" t="s">
        <v>42</v>
      </c>
      <c r="K3" s="70" t="s">
        <v>43</v>
      </c>
      <c r="L3" s="70" t="s">
        <v>38</v>
      </c>
      <c r="M3" s="71" t="s">
        <v>44</v>
      </c>
      <c r="N3" s="72" t="s">
        <v>45</v>
      </c>
      <c r="O3" s="71" t="s">
        <v>38</v>
      </c>
      <c r="P3" s="1"/>
      <c r="Q3" s="37"/>
      <c r="R3" s="40"/>
      <c r="S3" s="40"/>
      <c r="T3" s="40"/>
      <c r="U3" s="40"/>
      <c r="V3" s="1"/>
      <c r="W3" s="37"/>
      <c r="X3" s="40"/>
      <c r="Y3" s="40"/>
      <c r="Z3" s="40"/>
      <c r="AA3" s="40"/>
    </row>
    <row r="4" spans="2:27" ht="15" customHeight="1">
      <c r="B4" s="93" t="s">
        <v>46</v>
      </c>
      <c r="C4" s="118" t="s">
        <v>47</v>
      </c>
      <c r="D4" s="119" t="s">
        <v>48</v>
      </c>
      <c r="E4" s="120" t="s">
        <v>49</v>
      </c>
      <c r="F4" s="118" t="s">
        <v>50</v>
      </c>
      <c r="G4" s="119" t="s">
        <v>51</v>
      </c>
      <c r="H4" s="121" t="s">
        <v>52</v>
      </c>
      <c r="I4" s="121"/>
      <c r="J4" s="121" t="s">
        <v>53</v>
      </c>
      <c r="K4" s="121"/>
      <c r="L4" s="119" t="s">
        <v>54</v>
      </c>
      <c r="M4" s="122" t="s">
        <v>55</v>
      </c>
      <c r="N4" s="123" t="s">
        <v>56</v>
      </c>
      <c r="O4" s="120" t="s">
        <v>49</v>
      </c>
      <c r="P4" s="1"/>
      <c r="Q4" s="37"/>
      <c r="R4" s="40"/>
      <c r="S4" s="40"/>
      <c r="T4" s="40"/>
      <c r="U4" s="40"/>
      <c r="V4" s="1"/>
      <c r="W4" s="37"/>
      <c r="X4" s="40"/>
      <c r="Y4" s="40"/>
      <c r="Z4" s="40"/>
      <c r="AA4" s="40"/>
    </row>
    <row r="5" spans="2:27" ht="15.75" customHeight="1" thickBot="1">
      <c r="B5" s="94"/>
      <c r="C5" s="124"/>
      <c r="D5" s="125"/>
      <c r="E5" s="126"/>
      <c r="F5" s="124"/>
      <c r="G5" s="125"/>
      <c r="H5" s="127"/>
      <c r="I5" s="127"/>
      <c r="J5" s="127"/>
      <c r="K5" s="127"/>
      <c r="L5" s="125"/>
      <c r="M5" s="128"/>
      <c r="N5" s="129"/>
      <c r="O5" s="126"/>
      <c r="P5" s="1"/>
      <c r="Q5" s="37"/>
      <c r="R5" s="40"/>
      <c r="S5" s="40"/>
      <c r="T5" s="40"/>
      <c r="U5" s="40"/>
      <c r="V5" s="1"/>
      <c r="W5" s="37"/>
      <c r="X5" s="40"/>
      <c r="Y5" s="40"/>
      <c r="Z5" s="40"/>
      <c r="AA5" s="40"/>
    </row>
    <row r="6" spans="2:27" ht="15" customHeight="1">
      <c r="B6" s="97" t="s">
        <v>57</v>
      </c>
      <c r="C6" s="130" t="s">
        <v>58</v>
      </c>
      <c r="D6" s="119" t="s">
        <v>101</v>
      </c>
      <c r="E6" s="120" t="s">
        <v>60</v>
      </c>
      <c r="F6" s="118" t="s">
        <v>61</v>
      </c>
      <c r="G6" s="119" t="s">
        <v>62</v>
      </c>
      <c r="H6" s="119" t="s">
        <v>63</v>
      </c>
      <c r="I6" s="131"/>
      <c r="J6" s="119" t="s">
        <v>272</v>
      </c>
      <c r="K6" s="131"/>
      <c r="L6" s="119" t="s">
        <v>64</v>
      </c>
      <c r="M6" s="133" t="s">
        <v>65</v>
      </c>
      <c r="N6" s="118" t="s">
        <v>187</v>
      </c>
      <c r="O6" s="120" t="s">
        <v>66</v>
      </c>
      <c r="P6" s="1"/>
      <c r="Q6" s="37"/>
      <c r="R6" s="40"/>
      <c r="S6" s="40"/>
      <c r="T6" s="40"/>
      <c r="U6" s="40"/>
      <c r="V6" s="1"/>
      <c r="W6" s="37"/>
      <c r="X6" s="40"/>
      <c r="Y6" s="40"/>
      <c r="Z6" s="40"/>
      <c r="AA6" s="40"/>
    </row>
    <row r="7" spans="2:27" ht="23.25" customHeight="1" thickBot="1">
      <c r="B7" s="94"/>
      <c r="C7" s="134"/>
      <c r="D7" s="125"/>
      <c r="E7" s="126"/>
      <c r="F7" s="124"/>
      <c r="G7" s="125"/>
      <c r="H7" s="125"/>
      <c r="I7" s="135"/>
      <c r="J7" s="125"/>
      <c r="K7" s="135"/>
      <c r="L7" s="125"/>
      <c r="M7" s="137"/>
      <c r="N7" s="124"/>
      <c r="O7" s="126"/>
      <c r="P7" s="1"/>
      <c r="Q7" s="37"/>
      <c r="R7" s="40"/>
      <c r="S7" s="40"/>
      <c r="T7" s="40"/>
      <c r="U7" s="40"/>
      <c r="V7" s="1"/>
      <c r="W7" s="37"/>
      <c r="X7" s="40"/>
      <c r="Y7" s="40"/>
      <c r="Z7" s="40"/>
      <c r="AA7" s="40"/>
    </row>
    <row r="8" spans="2:27" ht="15" customHeight="1">
      <c r="B8" s="95" t="s">
        <v>67</v>
      </c>
      <c r="C8" s="130" t="s">
        <v>68</v>
      </c>
      <c r="D8" s="119" t="s">
        <v>59</v>
      </c>
      <c r="E8" s="120" t="s">
        <v>70</v>
      </c>
      <c r="F8" s="118" t="s">
        <v>104</v>
      </c>
      <c r="G8" s="119" t="s">
        <v>72</v>
      </c>
      <c r="H8" s="119" t="s">
        <v>73</v>
      </c>
      <c r="I8" s="119" t="s">
        <v>74</v>
      </c>
      <c r="J8" s="131"/>
      <c r="K8" s="132"/>
      <c r="L8" s="119" t="s">
        <v>96</v>
      </c>
      <c r="M8" s="133" t="s">
        <v>75</v>
      </c>
      <c r="N8" s="118" t="s">
        <v>102</v>
      </c>
      <c r="O8" s="120" t="s">
        <v>49</v>
      </c>
      <c r="P8" s="1"/>
      <c r="Q8" s="37"/>
      <c r="R8" s="40"/>
      <c r="S8" s="40"/>
      <c r="T8" s="40"/>
      <c r="U8" s="40"/>
      <c r="V8" s="1"/>
      <c r="W8" s="37"/>
      <c r="X8" s="40"/>
      <c r="Y8" s="40"/>
      <c r="Z8" s="40"/>
      <c r="AA8" s="40"/>
    </row>
    <row r="9" spans="2:27" ht="21" customHeight="1" thickBot="1">
      <c r="B9" s="96"/>
      <c r="C9" s="134"/>
      <c r="D9" s="125"/>
      <c r="E9" s="126"/>
      <c r="F9" s="124"/>
      <c r="G9" s="125"/>
      <c r="H9" s="125"/>
      <c r="I9" s="125"/>
      <c r="J9" s="135"/>
      <c r="K9" s="136"/>
      <c r="L9" s="125"/>
      <c r="M9" s="137"/>
      <c r="N9" s="124"/>
      <c r="O9" s="126"/>
      <c r="P9" s="1"/>
      <c r="Q9" s="37"/>
      <c r="R9" s="40"/>
      <c r="S9" s="40"/>
      <c r="T9" s="40"/>
      <c r="U9" s="40"/>
      <c r="V9" s="1"/>
      <c r="W9" s="37"/>
      <c r="X9" s="40"/>
      <c r="Y9" s="40"/>
      <c r="Z9" s="40"/>
      <c r="AA9" s="40"/>
    </row>
    <row r="10" spans="2:27" ht="15" customHeight="1">
      <c r="B10" s="98" t="s">
        <v>78</v>
      </c>
      <c r="C10" s="130" t="s">
        <v>58</v>
      </c>
      <c r="D10" s="138" t="s">
        <v>79</v>
      </c>
      <c r="E10" s="120" t="s">
        <v>66</v>
      </c>
      <c r="F10" s="118" t="s">
        <v>80</v>
      </c>
      <c r="G10" s="119" t="s">
        <v>81</v>
      </c>
      <c r="H10" s="119" t="s">
        <v>48</v>
      </c>
      <c r="I10" s="131"/>
      <c r="J10" s="132" t="s">
        <v>82</v>
      </c>
      <c r="K10" s="119"/>
      <c r="L10" s="119" t="s">
        <v>54</v>
      </c>
      <c r="M10" s="139" t="s">
        <v>83</v>
      </c>
      <c r="N10" s="118" t="s">
        <v>84</v>
      </c>
      <c r="O10" s="120" t="s">
        <v>66</v>
      </c>
      <c r="P10" s="1"/>
      <c r="Q10" s="37"/>
      <c r="R10" s="40"/>
      <c r="S10" s="40"/>
      <c r="T10" s="40"/>
      <c r="U10" s="40"/>
      <c r="V10" s="1"/>
      <c r="W10" s="37"/>
      <c r="X10" s="40"/>
      <c r="Y10" s="40"/>
      <c r="Z10" s="40"/>
      <c r="AA10" s="40"/>
    </row>
    <row r="11" spans="2:27" ht="15.75" customHeight="1" thickBot="1">
      <c r="B11" s="96"/>
      <c r="C11" s="134"/>
      <c r="D11" s="125"/>
      <c r="E11" s="126"/>
      <c r="F11" s="124"/>
      <c r="G11" s="125"/>
      <c r="H11" s="125"/>
      <c r="I11" s="135"/>
      <c r="J11" s="136"/>
      <c r="K11" s="125"/>
      <c r="L11" s="125"/>
      <c r="M11" s="137"/>
      <c r="N11" s="124"/>
      <c r="O11" s="126"/>
      <c r="P11" s="1"/>
      <c r="Q11" s="37"/>
      <c r="R11" s="40"/>
      <c r="S11" s="40"/>
      <c r="T11" s="40"/>
      <c r="U11" s="40"/>
      <c r="V11" s="1"/>
      <c r="W11" s="37"/>
      <c r="X11" s="40"/>
      <c r="Y11" s="40"/>
      <c r="Z11" s="40"/>
      <c r="AA11" s="40"/>
    </row>
    <row r="12" spans="2:27" ht="15" customHeight="1">
      <c r="B12" s="97" t="s">
        <v>85</v>
      </c>
      <c r="C12" s="130" t="s">
        <v>68</v>
      </c>
      <c r="D12" s="119" t="s">
        <v>86</v>
      </c>
      <c r="E12" s="120" t="s">
        <v>49</v>
      </c>
      <c r="F12" s="118" t="s">
        <v>87</v>
      </c>
      <c r="G12" s="119" t="s">
        <v>88</v>
      </c>
      <c r="H12" s="132" t="s">
        <v>89</v>
      </c>
      <c r="I12" s="131"/>
      <c r="J12" s="119" t="s">
        <v>214</v>
      </c>
      <c r="K12" s="140"/>
      <c r="L12" s="119" t="s">
        <v>90</v>
      </c>
      <c r="M12" s="133" t="s">
        <v>55</v>
      </c>
      <c r="N12" s="119" t="s">
        <v>91</v>
      </c>
      <c r="O12" s="120" t="s">
        <v>49</v>
      </c>
      <c r="P12" s="1"/>
      <c r="Q12" s="37"/>
      <c r="R12" s="40"/>
      <c r="S12" s="40"/>
      <c r="T12" s="40"/>
      <c r="U12" s="40"/>
      <c r="V12" s="1"/>
      <c r="W12" s="37"/>
      <c r="X12" s="40"/>
      <c r="Y12" s="40"/>
      <c r="Z12" s="40"/>
      <c r="AA12" s="40"/>
    </row>
    <row r="13" spans="2:27" ht="22.5" customHeight="1" thickBot="1">
      <c r="B13" s="94"/>
      <c r="C13" s="134"/>
      <c r="D13" s="125"/>
      <c r="E13" s="126"/>
      <c r="F13" s="124"/>
      <c r="G13" s="125"/>
      <c r="H13" s="136"/>
      <c r="I13" s="135"/>
      <c r="J13" s="125"/>
      <c r="K13" s="141"/>
      <c r="L13" s="125"/>
      <c r="M13" s="137"/>
      <c r="N13" s="125"/>
      <c r="O13" s="126"/>
      <c r="P13" s="1"/>
      <c r="Q13" s="37"/>
      <c r="R13" s="40"/>
      <c r="S13" s="40"/>
      <c r="T13" s="40"/>
      <c r="U13" s="40"/>
      <c r="V13" s="1"/>
      <c r="W13" s="37"/>
      <c r="X13" s="40"/>
      <c r="Y13" s="40"/>
      <c r="Z13" s="40"/>
      <c r="AA13" s="40"/>
    </row>
    <row r="14" spans="2:27" ht="15" customHeight="1">
      <c r="B14" s="97" t="s">
        <v>92</v>
      </c>
      <c r="C14" s="130" t="s">
        <v>58</v>
      </c>
      <c r="D14" s="119" t="s">
        <v>93</v>
      </c>
      <c r="E14" s="120" t="s">
        <v>60</v>
      </c>
      <c r="F14" s="142" t="s">
        <v>71</v>
      </c>
      <c r="G14" s="119" t="s">
        <v>94</v>
      </c>
      <c r="H14" s="119"/>
      <c r="I14" s="131"/>
      <c r="J14" s="132"/>
      <c r="K14" s="119" t="s">
        <v>95</v>
      </c>
      <c r="L14" s="120" t="s">
        <v>49</v>
      </c>
      <c r="M14" s="133" t="s">
        <v>65</v>
      </c>
      <c r="N14" s="118" t="s">
        <v>97</v>
      </c>
      <c r="O14" s="120" t="s">
        <v>77</v>
      </c>
      <c r="P14" s="1"/>
      <c r="Q14" s="37"/>
      <c r="R14" s="40"/>
      <c r="S14" s="40"/>
      <c r="T14" s="40"/>
      <c r="U14" s="40"/>
      <c r="V14" s="1"/>
      <c r="W14" s="37"/>
      <c r="X14" s="40"/>
      <c r="Y14" s="40"/>
      <c r="Z14" s="40"/>
      <c r="AA14" s="40"/>
    </row>
    <row r="15" spans="2:27" ht="22.5" customHeight="1" thickBot="1">
      <c r="B15" s="94"/>
      <c r="C15" s="134"/>
      <c r="D15" s="125"/>
      <c r="E15" s="126"/>
      <c r="F15" s="124"/>
      <c r="G15" s="125"/>
      <c r="H15" s="125"/>
      <c r="I15" s="135"/>
      <c r="J15" s="136"/>
      <c r="K15" s="125"/>
      <c r="L15" s="126"/>
      <c r="M15" s="137"/>
      <c r="N15" s="124"/>
      <c r="O15" s="126"/>
      <c r="P15" s="1"/>
      <c r="Q15" s="37"/>
      <c r="R15" s="40"/>
      <c r="S15" s="40"/>
      <c r="T15" s="40"/>
      <c r="U15" s="40"/>
      <c r="V15" s="1"/>
      <c r="W15" s="37"/>
      <c r="X15" s="40"/>
      <c r="Y15" s="40"/>
      <c r="Z15" s="40"/>
      <c r="AA15" s="40"/>
    </row>
    <row r="16" spans="2:27" ht="15" customHeight="1">
      <c r="B16" s="97" t="s">
        <v>98</v>
      </c>
      <c r="C16" s="118" t="s">
        <v>68</v>
      </c>
      <c r="D16" s="119" t="s">
        <v>99</v>
      </c>
      <c r="E16" s="120" t="s">
        <v>66</v>
      </c>
      <c r="F16" s="118" t="s">
        <v>50</v>
      </c>
      <c r="G16" s="119" t="s">
        <v>100</v>
      </c>
      <c r="H16" s="119" t="s">
        <v>101</v>
      </c>
      <c r="I16" s="131"/>
      <c r="J16" s="119" t="s">
        <v>211</v>
      </c>
      <c r="K16" s="132"/>
      <c r="L16" s="119" t="s">
        <v>54</v>
      </c>
      <c r="M16" s="133" t="s">
        <v>83</v>
      </c>
      <c r="N16" s="118" t="s">
        <v>190</v>
      </c>
      <c r="O16" s="120" t="s">
        <v>66</v>
      </c>
      <c r="P16" s="1"/>
      <c r="Q16" s="37"/>
      <c r="R16" s="40"/>
      <c r="S16" s="40"/>
      <c r="T16" s="40"/>
      <c r="U16" s="40"/>
      <c r="V16" s="1"/>
      <c r="W16" s="37"/>
      <c r="X16" s="40"/>
      <c r="Y16" s="40"/>
      <c r="Z16" s="40"/>
      <c r="AA16" s="40"/>
    </row>
    <row r="17" spans="2:27" ht="23.25" customHeight="1" thickBot="1">
      <c r="B17" s="94"/>
      <c r="C17" s="124"/>
      <c r="D17" s="125"/>
      <c r="E17" s="126"/>
      <c r="F17" s="124"/>
      <c r="G17" s="125"/>
      <c r="H17" s="125"/>
      <c r="I17" s="135"/>
      <c r="J17" s="125"/>
      <c r="K17" s="136"/>
      <c r="L17" s="125"/>
      <c r="M17" s="137"/>
      <c r="N17" s="124"/>
      <c r="O17" s="126"/>
      <c r="P17" s="1"/>
      <c r="Q17" s="37"/>
      <c r="R17" s="40"/>
      <c r="S17" s="40"/>
      <c r="T17" s="40"/>
      <c r="U17" s="40"/>
      <c r="V17" s="1"/>
      <c r="W17" s="37"/>
      <c r="X17" s="40"/>
      <c r="Y17" s="40"/>
      <c r="Z17" s="40"/>
      <c r="AA17" s="40"/>
    </row>
    <row r="18" spans="2:27" ht="15" customHeight="1">
      <c r="B18" s="97" t="s">
        <v>103</v>
      </c>
      <c r="C18" s="130" t="s">
        <v>58</v>
      </c>
      <c r="D18" s="119" t="s">
        <v>59</v>
      </c>
      <c r="E18" s="120" t="s">
        <v>70</v>
      </c>
      <c r="F18" s="118" t="s">
        <v>104</v>
      </c>
      <c r="G18" s="119" t="s">
        <v>105</v>
      </c>
      <c r="H18" s="119" t="s">
        <v>106</v>
      </c>
      <c r="I18" s="143"/>
      <c r="J18" s="143" t="s">
        <v>107</v>
      </c>
      <c r="K18" s="119" t="s">
        <v>244</v>
      </c>
      <c r="L18" s="119" t="s">
        <v>49</v>
      </c>
      <c r="M18" s="133" t="s">
        <v>75</v>
      </c>
      <c r="N18" s="118" t="s">
        <v>76</v>
      </c>
      <c r="O18" s="120" t="s">
        <v>49</v>
      </c>
      <c r="P18" s="1"/>
      <c r="Q18" s="37"/>
      <c r="R18" s="40"/>
      <c r="S18" s="40"/>
      <c r="T18" s="40"/>
      <c r="U18" s="40"/>
      <c r="V18" s="1"/>
      <c r="W18" s="37"/>
      <c r="X18" s="40"/>
      <c r="Y18" s="40"/>
      <c r="Z18" s="40"/>
      <c r="AA18" s="40"/>
    </row>
    <row r="19" spans="2:27" ht="24" customHeight="1" thickBot="1">
      <c r="B19" s="94"/>
      <c r="C19" s="134"/>
      <c r="D19" s="125"/>
      <c r="E19" s="126"/>
      <c r="F19" s="124"/>
      <c r="G19" s="125"/>
      <c r="H19" s="125"/>
      <c r="I19" s="144"/>
      <c r="J19" s="144"/>
      <c r="K19" s="125"/>
      <c r="L19" s="125"/>
      <c r="M19" s="137"/>
      <c r="N19" s="124"/>
      <c r="O19" s="126"/>
      <c r="P19" s="1"/>
      <c r="Q19" s="37"/>
      <c r="R19" s="40"/>
      <c r="S19" s="40"/>
      <c r="T19" s="40"/>
      <c r="U19" s="40"/>
      <c r="V19" s="1"/>
      <c r="W19" s="37"/>
      <c r="X19" s="40"/>
      <c r="Y19" s="40"/>
      <c r="Z19" s="40"/>
      <c r="AA19" s="40"/>
    </row>
    <row r="20" spans="2:27" ht="15" customHeight="1">
      <c r="B20" s="97" t="s">
        <v>108</v>
      </c>
      <c r="C20" s="130" t="s">
        <v>68</v>
      </c>
      <c r="D20" s="119" t="s">
        <v>91</v>
      </c>
      <c r="E20" s="120" t="s">
        <v>49</v>
      </c>
      <c r="F20" s="142" t="s">
        <v>87</v>
      </c>
      <c r="G20" s="119" t="s">
        <v>81</v>
      </c>
      <c r="H20" s="119" t="s">
        <v>73</v>
      </c>
      <c r="I20" s="119"/>
      <c r="J20" s="119" t="s">
        <v>109</v>
      </c>
      <c r="K20" s="132"/>
      <c r="L20" s="119" t="s">
        <v>54</v>
      </c>
      <c r="M20" s="133" t="s">
        <v>55</v>
      </c>
      <c r="N20" s="130" t="s">
        <v>110</v>
      </c>
      <c r="O20" s="120" t="s">
        <v>66</v>
      </c>
      <c r="P20" s="1"/>
      <c r="Q20" s="37"/>
      <c r="R20" s="40"/>
      <c r="S20" s="40"/>
      <c r="T20" s="40"/>
      <c r="U20" s="40"/>
      <c r="V20" s="1"/>
      <c r="W20" s="37"/>
      <c r="X20" s="40"/>
      <c r="Y20" s="40"/>
      <c r="Z20" s="40"/>
      <c r="AA20" s="40"/>
    </row>
    <row r="21" spans="2:27" ht="15.75" thickBot="1">
      <c r="B21" s="94"/>
      <c r="C21" s="134"/>
      <c r="D21" s="125"/>
      <c r="E21" s="126"/>
      <c r="F21" s="124"/>
      <c r="G21" s="125"/>
      <c r="H21" s="125"/>
      <c r="I21" s="125"/>
      <c r="J21" s="125"/>
      <c r="K21" s="136"/>
      <c r="L21" s="125"/>
      <c r="M21" s="137"/>
      <c r="N21" s="134"/>
      <c r="O21" s="126"/>
      <c r="P21" s="1"/>
      <c r="Q21" s="37"/>
      <c r="R21" s="40"/>
      <c r="S21" s="40"/>
      <c r="T21" s="40"/>
      <c r="U21" s="40"/>
      <c r="V21" s="1"/>
      <c r="W21" s="37"/>
      <c r="X21" s="40"/>
      <c r="Y21" s="40"/>
      <c r="Z21" s="40"/>
      <c r="AA21" s="40"/>
    </row>
    <row r="22" spans="2:27" ht="15" customHeight="1">
      <c r="B22" s="97" t="s">
        <v>111</v>
      </c>
      <c r="C22" s="130" t="s">
        <v>58</v>
      </c>
      <c r="D22" s="119" t="s">
        <v>69</v>
      </c>
      <c r="E22" s="120" t="s">
        <v>60</v>
      </c>
      <c r="F22" s="118" t="s">
        <v>80</v>
      </c>
      <c r="G22" s="119" t="s">
        <v>112</v>
      </c>
      <c r="H22" s="132" t="s">
        <v>52</v>
      </c>
      <c r="I22" s="119" t="s">
        <v>113</v>
      </c>
      <c r="J22" s="119"/>
      <c r="K22" s="143"/>
      <c r="L22" s="119" t="s">
        <v>64</v>
      </c>
      <c r="M22" s="133" t="s">
        <v>65</v>
      </c>
      <c r="N22" s="130" t="s">
        <v>47</v>
      </c>
      <c r="O22" s="120" t="s">
        <v>49</v>
      </c>
      <c r="P22" s="1"/>
      <c r="Q22" s="37"/>
      <c r="R22" s="40"/>
      <c r="S22" s="40"/>
      <c r="T22" s="40"/>
      <c r="U22" s="40"/>
      <c r="V22" s="1"/>
      <c r="W22" s="37"/>
      <c r="X22" s="40"/>
      <c r="Y22" s="40"/>
      <c r="Z22" s="40"/>
      <c r="AA22" s="40"/>
    </row>
    <row r="23" spans="2:27" ht="15.75" thickBot="1">
      <c r="B23" s="94"/>
      <c r="C23" s="134"/>
      <c r="D23" s="125"/>
      <c r="E23" s="126"/>
      <c r="F23" s="124"/>
      <c r="G23" s="125"/>
      <c r="H23" s="136"/>
      <c r="I23" s="125"/>
      <c r="J23" s="125"/>
      <c r="K23" s="144"/>
      <c r="L23" s="125"/>
      <c r="M23" s="137"/>
      <c r="N23" s="134"/>
      <c r="O23" s="126"/>
      <c r="P23" s="1"/>
      <c r="Q23" s="37"/>
      <c r="R23" s="40"/>
      <c r="S23" s="40"/>
      <c r="T23" s="40"/>
      <c r="U23" s="40"/>
      <c r="V23" s="1"/>
      <c r="W23" s="37"/>
      <c r="X23" s="40"/>
      <c r="Y23" s="40"/>
      <c r="Z23" s="40"/>
      <c r="AA23" s="40"/>
    </row>
    <row r="24" spans="2:27" ht="15" customHeight="1">
      <c r="B24" s="97" t="s">
        <v>114</v>
      </c>
      <c r="C24" s="130" t="s">
        <v>68</v>
      </c>
      <c r="D24" s="119" t="s">
        <v>115</v>
      </c>
      <c r="E24" s="120" t="s">
        <v>66</v>
      </c>
      <c r="F24" s="142" t="s">
        <v>71</v>
      </c>
      <c r="G24" s="119" t="s">
        <v>116</v>
      </c>
      <c r="H24" s="119" t="s">
        <v>117</v>
      </c>
      <c r="I24" s="131"/>
      <c r="J24" s="119"/>
      <c r="K24" s="132" t="s">
        <v>82</v>
      </c>
      <c r="L24" s="119" t="s">
        <v>96</v>
      </c>
      <c r="M24" s="133" t="s">
        <v>83</v>
      </c>
      <c r="N24" s="118" t="s">
        <v>118</v>
      </c>
      <c r="O24" s="120" t="s">
        <v>66</v>
      </c>
      <c r="P24" s="1"/>
      <c r="Q24" s="37"/>
      <c r="R24" s="40"/>
      <c r="S24" s="40"/>
      <c r="T24" s="40"/>
      <c r="U24" s="40"/>
      <c r="V24" s="1"/>
      <c r="W24" s="37"/>
      <c r="X24" s="40"/>
      <c r="Y24" s="40"/>
      <c r="Z24" s="40"/>
      <c r="AA24" s="40"/>
    </row>
    <row r="25" spans="2:27" ht="15.75" thickBot="1">
      <c r="B25" s="94"/>
      <c r="C25" s="134"/>
      <c r="D25" s="125"/>
      <c r="E25" s="126"/>
      <c r="F25" s="124"/>
      <c r="G25" s="125"/>
      <c r="H25" s="125"/>
      <c r="I25" s="135"/>
      <c r="J25" s="125"/>
      <c r="K25" s="136"/>
      <c r="L25" s="125"/>
      <c r="M25" s="137"/>
      <c r="N25" s="124"/>
      <c r="O25" s="126"/>
      <c r="P25" s="1"/>
      <c r="Q25" s="37"/>
      <c r="R25" s="40"/>
      <c r="S25" s="40"/>
      <c r="T25" s="40"/>
      <c r="U25" s="40"/>
      <c r="V25" s="1"/>
      <c r="W25" s="37"/>
      <c r="X25" s="40"/>
      <c r="Y25" s="40"/>
      <c r="Z25" s="40"/>
      <c r="AA25" s="40"/>
    </row>
    <row r="26" spans="2:27" ht="15" customHeight="1">
      <c r="B26" s="97" t="s">
        <v>119</v>
      </c>
      <c r="C26" s="130" t="s">
        <v>58</v>
      </c>
      <c r="D26" s="119" t="s">
        <v>120</v>
      </c>
      <c r="E26" s="120" t="s">
        <v>49</v>
      </c>
      <c r="F26" s="118" t="s">
        <v>104</v>
      </c>
      <c r="G26" s="119" t="s">
        <v>88</v>
      </c>
      <c r="H26" s="132"/>
      <c r="I26" s="131"/>
      <c r="J26" s="119" t="s">
        <v>271</v>
      </c>
      <c r="K26" s="119"/>
      <c r="L26" s="119" t="s">
        <v>66</v>
      </c>
      <c r="M26" s="133" t="s">
        <v>75</v>
      </c>
      <c r="N26" s="118" t="s">
        <v>121</v>
      </c>
      <c r="O26" s="120" t="s">
        <v>49</v>
      </c>
      <c r="P26" s="1"/>
      <c r="Q26" s="37"/>
      <c r="R26" s="40"/>
      <c r="S26" s="40"/>
      <c r="T26" s="40"/>
      <c r="U26" s="40"/>
      <c r="V26" s="1"/>
      <c r="W26" s="37"/>
      <c r="X26" s="40"/>
      <c r="Y26" s="40"/>
      <c r="Z26" s="40"/>
      <c r="AA26" s="40"/>
    </row>
    <row r="27" spans="2:27" ht="30.75" customHeight="1" thickBot="1">
      <c r="B27" s="94"/>
      <c r="C27" s="134"/>
      <c r="D27" s="125"/>
      <c r="E27" s="126"/>
      <c r="F27" s="124"/>
      <c r="G27" s="125"/>
      <c r="H27" s="136"/>
      <c r="I27" s="135"/>
      <c r="J27" s="125"/>
      <c r="K27" s="125"/>
      <c r="L27" s="125"/>
      <c r="M27" s="137"/>
      <c r="N27" s="124"/>
      <c r="O27" s="126"/>
      <c r="P27" s="1"/>
      <c r="Q27" s="37"/>
      <c r="R27" s="40"/>
      <c r="S27" s="40"/>
      <c r="T27" s="40"/>
      <c r="U27" s="40"/>
      <c r="V27" s="1"/>
      <c r="W27" s="37"/>
      <c r="X27" s="40"/>
      <c r="Y27" s="40"/>
      <c r="Z27" s="40"/>
      <c r="AA27" s="40"/>
    </row>
    <row r="28" spans="2:27">
      <c r="B28" s="32"/>
      <c r="C28" s="68"/>
      <c r="D28" s="32"/>
      <c r="E28" s="32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1"/>
      <c r="Q28" s="37"/>
      <c r="R28" s="40"/>
      <c r="S28" s="40"/>
      <c r="T28" s="40"/>
      <c r="U28" s="40"/>
      <c r="V28" s="1"/>
      <c r="W28" s="37"/>
      <c r="X28" s="40"/>
      <c r="Y28" s="40"/>
      <c r="Z28" s="40"/>
      <c r="AA28" s="40"/>
    </row>
    <row r="29" spans="2:27">
      <c r="B29" s="32"/>
      <c r="C29" s="43"/>
      <c r="D29" s="66"/>
      <c r="E29" s="66"/>
      <c r="F29" s="66"/>
      <c r="G29" s="66"/>
      <c r="H29" s="53"/>
      <c r="I29" s="66"/>
      <c r="J29" s="66"/>
      <c r="K29" s="66"/>
      <c r="L29" s="53"/>
      <c r="M29" s="53"/>
      <c r="N29" s="66"/>
      <c r="O29" s="66"/>
      <c r="P29" s="36"/>
      <c r="Q29" s="49"/>
      <c r="R29" s="40"/>
      <c r="S29" s="40"/>
      <c r="T29" s="40"/>
      <c r="U29" s="40"/>
      <c r="V29" s="36"/>
      <c r="W29" s="37"/>
      <c r="X29" s="40"/>
      <c r="Y29" s="40"/>
      <c r="Z29" s="40"/>
      <c r="AA29" s="40"/>
    </row>
    <row r="30" spans="2:27">
      <c r="B30" s="66"/>
      <c r="C30" s="66"/>
      <c r="D30" s="66"/>
      <c r="E30" s="66"/>
      <c r="F30" s="66"/>
      <c r="G30" s="63">
        <v>25</v>
      </c>
      <c r="H30" s="63">
        <v>25</v>
      </c>
      <c r="I30" s="63">
        <v>35</v>
      </c>
      <c r="J30" s="63">
        <v>35</v>
      </c>
      <c r="K30" s="63"/>
      <c r="L30" s="63"/>
      <c r="M30" s="66"/>
      <c r="N30" s="66"/>
      <c r="O30" s="66"/>
      <c r="Q30" s="50"/>
      <c r="W30" s="51"/>
    </row>
    <row r="31" spans="2:27">
      <c r="B31" s="32"/>
      <c r="C31" s="43"/>
      <c r="D31" s="38" t="s">
        <v>142</v>
      </c>
      <c r="E31" s="78" t="s">
        <v>128</v>
      </c>
      <c r="F31" s="78" t="s">
        <v>126</v>
      </c>
      <c r="G31" s="79" t="s">
        <v>149</v>
      </c>
      <c r="H31" s="79" t="s">
        <v>150</v>
      </c>
      <c r="I31" s="79" t="s">
        <v>148</v>
      </c>
      <c r="J31" s="79" t="s">
        <v>147</v>
      </c>
      <c r="K31" s="79" t="s">
        <v>151</v>
      </c>
      <c r="L31" s="79" t="s">
        <v>152</v>
      </c>
      <c r="M31" s="53"/>
      <c r="N31" s="53"/>
      <c r="O31" s="53"/>
      <c r="Q31" s="50"/>
      <c r="W31" s="37"/>
    </row>
    <row r="32" spans="2:27">
      <c r="B32" s="32"/>
      <c r="C32" s="43"/>
      <c r="D32" s="38" t="s">
        <v>143</v>
      </c>
      <c r="E32" s="38">
        <v>77</v>
      </c>
      <c r="F32" s="63">
        <v>90</v>
      </c>
      <c r="G32" s="63">
        <f>E32*$G$30/100</f>
        <v>19.25</v>
      </c>
      <c r="H32" s="79">
        <f>F32*$H$30/100</f>
        <v>22.5</v>
      </c>
      <c r="I32" s="79">
        <f>E32*$I$30/100</f>
        <v>26.95</v>
      </c>
      <c r="J32" s="79">
        <f>F32*$J$30/100</f>
        <v>31.5</v>
      </c>
      <c r="K32" s="79">
        <f>G32+I32</f>
        <v>46.2</v>
      </c>
      <c r="L32" s="79">
        <f>H32+J32</f>
        <v>54</v>
      </c>
      <c r="M32" s="66"/>
      <c r="N32" s="66"/>
      <c r="O32" s="66"/>
      <c r="Q32" s="44"/>
      <c r="W32" s="40"/>
    </row>
    <row r="33" spans="2:23">
      <c r="B33" s="32"/>
      <c r="C33" s="32"/>
      <c r="D33" s="38" t="s">
        <v>144</v>
      </c>
      <c r="E33" s="38">
        <v>79</v>
      </c>
      <c r="F33" s="38">
        <v>92</v>
      </c>
      <c r="G33" s="63">
        <f>E33*$G$30/100</f>
        <v>19.75</v>
      </c>
      <c r="H33" s="79">
        <f t="shared" ref="H33:H35" si="0">F33*$H$30/100</f>
        <v>23</v>
      </c>
      <c r="I33" s="79">
        <f t="shared" ref="I33:I35" si="1">E33*$I$30/100</f>
        <v>27.65</v>
      </c>
      <c r="J33" s="79">
        <f t="shared" ref="J33:J35" si="2">F33*$J$30/100</f>
        <v>32.200000000000003</v>
      </c>
      <c r="K33" s="79">
        <f t="shared" ref="K33:K35" si="3">G33+I33</f>
        <v>47.4</v>
      </c>
      <c r="L33" s="79">
        <f t="shared" ref="L33:L35" si="4">H33+J33</f>
        <v>55.2</v>
      </c>
      <c r="M33" s="32"/>
      <c r="N33" s="32"/>
      <c r="O33" s="32"/>
      <c r="Q33" s="44"/>
      <c r="W33" s="40"/>
    </row>
    <row r="34" spans="2:23">
      <c r="B34" s="32"/>
      <c r="C34" s="32"/>
      <c r="D34" s="38" t="s">
        <v>145</v>
      </c>
      <c r="E34" s="38">
        <v>335</v>
      </c>
      <c r="F34" s="38">
        <v>383</v>
      </c>
      <c r="G34" s="63">
        <f t="shared" ref="G34:G35" si="5">E34*$G$30/100</f>
        <v>83.75</v>
      </c>
      <c r="H34" s="79">
        <f t="shared" si="0"/>
        <v>95.75</v>
      </c>
      <c r="I34" s="79">
        <f t="shared" si="1"/>
        <v>117.25</v>
      </c>
      <c r="J34" s="63">
        <f t="shared" si="2"/>
        <v>134.05000000000001</v>
      </c>
      <c r="K34" s="79">
        <f t="shared" si="3"/>
        <v>201</v>
      </c>
      <c r="L34" s="79">
        <f>H34+J34</f>
        <v>229.8</v>
      </c>
      <c r="M34" s="32"/>
      <c r="N34" s="32"/>
      <c r="O34" s="32"/>
      <c r="Q34" s="44"/>
      <c r="W34" s="40"/>
    </row>
    <row r="35" spans="2:23">
      <c r="B35" s="32"/>
      <c r="C35" s="32"/>
      <c r="D35" s="38" t="s">
        <v>146</v>
      </c>
      <c r="E35" s="38">
        <v>2350</v>
      </c>
      <c r="F35" s="38">
        <v>2720</v>
      </c>
      <c r="G35" s="79">
        <f t="shared" si="5"/>
        <v>587.5</v>
      </c>
      <c r="H35" s="79">
        <f t="shared" si="0"/>
        <v>680</v>
      </c>
      <c r="I35" s="79">
        <f t="shared" si="1"/>
        <v>822.5</v>
      </c>
      <c r="J35" s="80">
        <f t="shared" si="2"/>
        <v>952</v>
      </c>
      <c r="K35" s="79">
        <f t="shared" si="3"/>
        <v>1410</v>
      </c>
      <c r="L35" s="79">
        <f t="shared" si="4"/>
        <v>1632</v>
      </c>
      <c r="M35" s="32"/>
      <c r="N35" s="32"/>
      <c r="O35" s="32"/>
      <c r="Q35" s="45"/>
      <c r="W35" s="46"/>
    </row>
    <row r="36" spans="2:23">
      <c r="B36" s="26"/>
      <c r="C36" s="32"/>
      <c r="D36" s="38"/>
      <c r="E36" s="38"/>
      <c r="F36" s="38"/>
      <c r="G36" s="38"/>
      <c r="H36" s="38"/>
      <c r="I36" s="38"/>
      <c r="J36" s="38"/>
      <c r="K36" s="38"/>
      <c r="L36" s="38"/>
      <c r="M36" s="32"/>
      <c r="N36" s="32"/>
      <c r="O36" s="32"/>
      <c r="Q36" s="1"/>
      <c r="W36" s="1"/>
    </row>
    <row r="37" spans="2:23">
      <c r="B37" s="1"/>
      <c r="C37" s="1"/>
      <c r="D37" s="37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1"/>
    </row>
    <row r="38" spans="2:23">
      <c r="B38" s="1"/>
      <c r="C38" s="1"/>
      <c r="D38" s="37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1"/>
    </row>
    <row r="39" spans="2:23">
      <c r="B39" s="1"/>
      <c r="C39" s="1"/>
      <c r="D39" s="37"/>
      <c r="E39" s="1"/>
      <c r="J39" s="8"/>
      <c r="K39" s="8"/>
      <c r="L39" s="8"/>
      <c r="M39" s="8"/>
      <c r="N39" s="8"/>
      <c r="O39" s="8"/>
    </row>
    <row r="40" spans="2:23">
      <c r="B40" s="1"/>
      <c r="C40" s="1"/>
      <c r="D40" s="37"/>
      <c r="E40" s="1"/>
    </row>
    <row r="41" spans="2:23">
      <c r="B41" s="1"/>
      <c r="C41" s="1"/>
      <c r="D41" s="37"/>
      <c r="E41" s="1"/>
    </row>
    <row r="42" spans="2:23">
      <c r="B42" s="1"/>
      <c r="C42" s="1"/>
      <c r="D42" s="37"/>
      <c r="E42" s="1"/>
    </row>
    <row r="43" spans="2:23">
      <c r="B43" s="1"/>
      <c r="C43" s="1"/>
      <c r="D43" s="37"/>
      <c r="E43" s="1"/>
    </row>
    <row r="44" spans="2:23">
      <c r="B44" s="1"/>
      <c r="C44" s="1"/>
      <c r="D44" s="37"/>
      <c r="E44" s="1"/>
    </row>
    <row r="45" spans="2:23">
      <c r="B45" s="1"/>
      <c r="C45" s="1"/>
      <c r="D45" s="37"/>
      <c r="E45" s="1"/>
    </row>
    <row r="46" spans="2:23">
      <c r="B46" s="1"/>
      <c r="C46" s="1"/>
      <c r="D46" s="37"/>
      <c r="E46" s="1"/>
    </row>
    <row r="47" spans="2:23">
      <c r="B47" s="1"/>
      <c r="C47" s="1"/>
      <c r="D47" s="37"/>
      <c r="E47" s="1"/>
    </row>
    <row r="48" spans="2:23">
      <c r="B48" s="1"/>
      <c r="C48" s="1"/>
      <c r="D48" s="37"/>
      <c r="E48" s="1"/>
    </row>
    <row r="49" spans="2:5">
      <c r="B49" s="1"/>
      <c r="C49" s="1"/>
      <c r="D49" s="37"/>
      <c r="E49" s="1"/>
    </row>
    <row r="50" spans="2:5">
      <c r="B50" s="1"/>
      <c r="C50" s="1"/>
      <c r="D50" s="37"/>
      <c r="E50" s="1"/>
    </row>
    <row r="51" spans="2:5">
      <c r="B51" s="1"/>
      <c r="C51" s="1"/>
      <c r="D51" s="37"/>
      <c r="E51" s="1"/>
    </row>
    <row r="52" spans="2:5">
      <c r="B52" s="1"/>
      <c r="C52" s="1"/>
      <c r="D52" s="37"/>
      <c r="E52" s="1"/>
    </row>
    <row r="53" spans="2:5">
      <c r="B53" s="1"/>
      <c r="C53" s="1"/>
      <c r="D53" s="37"/>
      <c r="E53" s="1"/>
    </row>
    <row r="54" spans="2:5">
      <c r="B54" s="1"/>
      <c r="C54" s="1"/>
      <c r="D54" s="37"/>
      <c r="E54" s="1"/>
    </row>
    <row r="55" spans="2:5">
      <c r="B55" s="1"/>
      <c r="C55" s="1"/>
      <c r="D55" s="37"/>
      <c r="E55" s="1"/>
    </row>
    <row r="56" spans="2:5">
      <c r="B56" s="1"/>
      <c r="C56" s="1"/>
      <c r="D56" s="37"/>
      <c r="E56" s="1"/>
    </row>
    <row r="57" spans="2:5">
      <c r="B57" s="1"/>
      <c r="C57" s="1"/>
      <c r="D57" s="37"/>
      <c r="E57" s="1"/>
    </row>
    <row r="58" spans="2:5">
      <c r="B58" s="1"/>
      <c r="C58" s="1"/>
      <c r="D58" s="37"/>
      <c r="E58" s="1"/>
    </row>
    <row r="59" spans="2:5">
      <c r="B59" s="1"/>
      <c r="C59" s="1"/>
      <c r="D59" s="37"/>
      <c r="E59" s="1"/>
    </row>
    <row r="60" spans="2:5">
      <c r="B60" s="1"/>
      <c r="C60" s="1"/>
      <c r="D60" s="37"/>
      <c r="E60" s="1"/>
    </row>
    <row r="61" spans="2:5">
      <c r="B61" s="1"/>
      <c r="C61" s="1"/>
      <c r="D61" s="1"/>
    </row>
    <row r="62" spans="2:5">
      <c r="B62" s="1"/>
      <c r="C62" s="1"/>
      <c r="D62" s="1"/>
    </row>
    <row r="63" spans="2:5">
      <c r="B63" s="1"/>
      <c r="C63" s="1"/>
      <c r="D63" s="1"/>
    </row>
    <row r="64" spans="2:5">
      <c r="B64" s="1"/>
      <c r="C64" s="1"/>
      <c r="D64" s="1"/>
    </row>
    <row r="65" spans="2:4">
      <c r="B65" s="1"/>
      <c r="C65" s="1"/>
      <c r="D65" s="1"/>
    </row>
  </sheetData>
  <mergeCells count="174">
    <mergeCell ref="N26:N27"/>
    <mergeCell ref="O26:O27"/>
    <mergeCell ref="H26:H27"/>
    <mergeCell ref="I26:I27"/>
    <mergeCell ref="J26:J27"/>
    <mergeCell ref="K26:K27"/>
    <mergeCell ref="L26:L27"/>
    <mergeCell ref="M26:M27"/>
    <mergeCell ref="B26:B27"/>
    <mergeCell ref="C26:C27"/>
    <mergeCell ref="D26:D27"/>
    <mergeCell ref="E26:E27"/>
    <mergeCell ref="F26:F27"/>
    <mergeCell ref="G26:G27"/>
    <mergeCell ref="J24:J25"/>
    <mergeCell ref="K24:K25"/>
    <mergeCell ref="L24:L25"/>
    <mergeCell ref="M24:M25"/>
    <mergeCell ref="N24:N25"/>
    <mergeCell ref="O24:O25"/>
    <mergeCell ref="N22:N23"/>
    <mergeCell ref="O22:O23"/>
    <mergeCell ref="B24:B25"/>
    <mergeCell ref="C24:C25"/>
    <mergeCell ref="D24:D25"/>
    <mergeCell ref="E24:E25"/>
    <mergeCell ref="F24:F25"/>
    <mergeCell ref="G24:G25"/>
    <mergeCell ref="H24:H25"/>
    <mergeCell ref="I24:I25"/>
    <mergeCell ref="H22:H23"/>
    <mergeCell ref="I22:I23"/>
    <mergeCell ref="J22:J23"/>
    <mergeCell ref="K22:K23"/>
    <mergeCell ref="L22:L23"/>
    <mergeCell ref="M22:M23"/>
    <mergeCell ref="B22:B23"/>
    <mergeCell ref="C22:C23"/>
    <mergeCell ref="D22:D23"/>
    <mergeCell ref="E22:E23"/>
    <mergeCell ref="F22:F23"/>
    <mergeCell ref="G22:G23"/>
    <mergeCell ref="J20:J21"/>
    <mergeCell ref="K20:K21"/>
    <mergeCell ref="L20:L21"/>
    <mergeCell ref="M20:M21"/>
    <mergeCell ref="N20:N21"/>
    <mergeCell ref="O20:O21"/>
    <mergeCell ref="N18:N19"/>
    <mergeCell ref="O18:O19"/>
    <mergeCell ref="B20:B21"/>
    <mergeCell ref="C20:C21"/>
    <mergeCell ref="D20:D21"/>
    <mergeCell ref="E20:E21"/>
    <mergeCell ref="F20:F21"/>
    <mergeCell ref="G20:G21"/>
    <mergeCell ref="H20:H21"/>
    <mergeCell ref="I20:I21"/>
    <mergeCell ref="H18:H19"/>
    <mergeCell ref="I18:I19"/>
    <mergeCell ref="J18:J19"/>
    <mergeCell ref="K18:K19"/>
    <mergeCell ref="L18:L19"/>
    <mergeCell ref="M18:M19"/>
    <mergeCell ref="B18:B19"/>
    <mergeCell ref="C18:C19"/>
    <mergeCell ref="D18:D19"/>
    <mergeCell ref="E18:E19"/>
    <mergeCell ref="F18:F19"/>
    <mergeCell ref="G18:G19"/>
    <mergeCell ref="J16:J17"/>
    <mergeCell ref="K16:K17"/>
    <mergeCell ref="L16:L17"/>
    <mergeCell ref="M16:M17"/>
    <mergeCell ref="N16:N17"/>
    <mergeCell ref="O16:O17"/>
    <mergeCell ref="N14:N15"/>
    <mergeCell ref="O14:O15"/>
    <mergeCell ref="B16:B17"/>
    <mergeCell ref="C16:C17"/>
    <mergeCell ref="D16:D17"/>
    <mergeCell ref="E16:E17"/>
    <mergeCell ref="F16:F17"/>
    <mergeCell ref="G16:G17"/>
    <mergeCell ref="H16:H17"/>
    <mergeCell ref="I16:I17"/>
    <mergeCell ref="H14:H15"/>
    <mergeCell ref="I14:I15"/>
    <mergeCell ref="J14:J15"/>
    <mergeCell ref="K14:K15"/>
    <mergeCell ref="L14:L15"/>
    <mergeCell ref="M14:M15"/>
    <mergeCell ref="B14:B15"/>
    <mergeCell ref="C14:C15"/>
    <mergeCell ref="D14:D15"/>
    <mergeCell ref="E14:E15"/>
    <mergeCell ref="F14:F15"/>
    <mergeCell ref="G14:G15"/>
    <mergeCell ref="J12:J13"/>
    <mergeCell ref="K12:K13"/>
    <mergeCell ref="L12:L13"/>
    <mergeCell ref="M12:M13"/>
    <mergeCell ref="N12:N13"/>
    <mergeCell ref="O12:O13"/>
    <mergeCell ref="N10:N11"/>
    <mergeCell ref="O10:O11"/>
    <mergeCell ref="B12:B13"/>
    <mergeCell ref="C12:C13"/>
    <mergeCell ref="D12:D13"/>
    <mergeCell ref="E12:E13"/>
    <mergeCell ref="F12:F13"/>
    <mergeCell ref="G12:G13"/>
    <mergeCell ref="H12:H13"/>
    <mergeCell ref="I12:I13"/>
    <mergeCell ref="H10:H11"/>
    <mergeCell ref="I10:I11"/>
    <mergeCell ref="J10:J11"/>
    <mergeCell ref="K10:K11"/>
    <mergeCell ref="L10:L11"/>
    <mergeCell ref="M10:M11"/>
    <mergeCell ref="B10:B11"/>
    <mergeCell ref="C10:C11"/>
    <mergeCell ref="D10:D11"/>
    <mergeCell ref="E10:E11"/>
    <mergeCell ref="F10:F11"/>
    <mergeCell ref="G10:G11"/>
    <mergeCell ref="J8:J9"/>
    <mergeCell ref="K8:K9"/>
    <mergeCell ref="L8:L9"/>
    <mergeCell ref="M8:M9"/>
    <mergeCell ref="N8:N9"/>
    <mergeCell ref="O8:O9"/>
    <mergeCell ref="N6:N7"/>
    <mergeCell ref="O6:O7"/>
    <mergeCell ref="B8:B9"/>
    <mergeCell ref="C8:C9"/>
    <mergeCell ref="D8:D9"/>
    <mergeCell ref="E8:E9"/>
    <mergeCell ref="F8:F9"/>
    <mergeCell ref="G8:G9"/>
    <mergeCell ref="H8:H9"/>
    <mergeCell ref="I8:I9"/>
    <mergeCell ref="H6:H7"/>
    <mergeCell ref="I6:I7"/>
    <mergeCell ref="J6:J7"/>
    <mergeCell ref="K6:K7"/>
    <mergeCell ref="L6:L7"/>
    <mergeCell ref="M6:M7"/>
    <mergeCell ref="B6:B7"/>
    <mergeCell ref="C6:C7"/>
    <mergeCell ref="D6:D7"/>
    <mergeCell ref="E6:E7"/>
    <mergeCell ref="F6:F7"/>
    <mergeCell ref="G6:G7"/>
    <mergeCell ref="J4:J5"/>
    <mergeCell ref="K4:K5"/>
    <mergeCell ref="L4:L5"/>
    <mergeCell ref="M4:M5"/>
    <mergeCell ref="N4:N5"/>
    <mergeCell ref="B1:C1"/>
    <mergeCell ref="D1:I1"/>
    <mergeCell ref="H4:H5"/>
    <mergeCell ref="I4:I5"/>
    <mergeCell ref="O4:O5"/>
    <mergeCell ref="B2:B3"/>
    <mergeCell ref="C2:E2"/>
    <mergeCell ref="F2:M2"/>
    <mergeCell ref="N2:O2"/>
    <mergeCell ref="B4:B5"/>
    <mergeCell ref="C4:C5"/>
    <mergeCell ref="D4:D5"/>
    <mergeCell ref="E4:E5"/>
    <mergeCell ref="F4:F5"/>
    <mergeCell ref="G4:G5"/>
  </mergeCells>
  <hyperlinks>
    <hyperlink ref="B4:B5" location="'День 1'!A1" display="1 день"/>
    <hyperlink ref="B6:B7" location="'День 2'!A1" display="2 день"/>
    <hyperlink ref="B10:B11" location="'День 4'!A1" display="4 день"/>
    <hyperlink ref="B12:B13" location="'День 5'!A1" display=" 5 день"/>
    <hyperlink ref="B14:B15" location="'День 6'!A1" display="6 день"/>
    <hyperlink ref="B18:B19" location="'День 8'!A1" display="8 день"/>
    <hyperlink ref="B20:B21" location="'День 9'!A1" display=" 9 день"/>
    <hyperlink ref="B24:B25" location="'День 11'!A1" display="11 день"/>
    <hyperlink ref="B26:B27" location="'День 12'!A1" display="12 день"/>
    <hyperlink ref="B22:B23" location="'День 10'!A1" display="10 день"/>
    <hyperlink ref="B16:B17" location="'День 7'!A1" display="7 день"/>
    <hyperlink ref="B8:B9" location="'День 3'!A1" display="3 день"/>
  </hyperlinks>
  <pageMargins left="0.32291666666666669" right="0.7" top="0.29166666666666669" bottom="0.44791666666666669" header="0.3" footer="0.3"/>
  <pageSetup paperSize="9" scale="80" fitToHeight="0" orientation="landscape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71"/>
  <sheetViews>
    <sheetView topLeftCell="A7" zoomScaleNormal="100" workbookViewId="0">
      <selection activeCell="A29" sqref="A29:L29"/>
    </sheetView>
  </sheetViews>
  <sheetFormatPr defaultRowHeight="15"/>
  <cols>
    <col min="1" max="1" width="10.5703125" style="73" customWidth="1"/>
    <col min="2" max="2" width="37" style="73" customWidth="1"/>
    <col min="3" max="3" width="7.28515625" style="73" customWidth="1"/>
    <col min="4" max="4" width="9" style="73" customWidth="1"/>
    <col min="5" max="5" width="6.7109375" style="73" customWidth="1"/>
    <col min="6" max="6" width="6.85546875" style="73" customWidth="1"/>
    <col min="7" max="7" width="6.42578125" style="73" customWidth="1"/>
    <col min="8" max="8" width="6.5703125" style="73" customWidth="1"/>
    <col min="9" max="9" width="7.5703125" style="73" customWidth="1"/>
    <col min="10" max="10" width="7.42578125" style="73" customWidth="1"/>
    <col min="11" max="11" width="9.7109375" style="73" customWidth="1"/>
    <col min="12" max="12" width="9.42578125" style="73" customWidth="1"/>
    <col min="13" max="13" width="9" style="73" customWidth="1"/>
    <col min="14" max="14" width="7.28515625" style="73" customWidth="1"/>
    <col min="15" max="18" width="9.140625" style="73"/>
    <col min="19" max="19" width="19.7109375" style="73" customWidth="1"/>
    <col min="20" max="20" width="7.7109375" style="73" customWidth="1"/>
    <col min="21" max="21" width="9.140625" style="73"/>
    <col min="22" max="22" width="7.7109375" style="73" customWidth="1"/>
    <col min="23" max="16384" width="9.140625" style="73"/>
  </cols>
  <sheetData>
    <row r="1" spans="1:24" ht="15.75">
      <c r="A1" s="107" t="s">
        <v>122</v>
      </c>
      <c r="B1" s="107"/>
      <c r="C1" s="60"/>
      <c r="D1" s="60"/>
      <c r="E1" s="108" t="s">
        <v>237</v>
      </c>
      <c r="F1" s="108"/>
      <c r="G1" s="108"/>
      <c r="H1" s="108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5.75">
      <c r="A2" s="109" t="s">
        <v>123</v>
      </c>
      <c r="B2" s="109"/>
      <c r="C2" s="109"/>
      <c r="D2" s="109"/>
      <c r="E2" s="109" t="s">
        <v>172</v>
      </c>
      <c r="F2" s="109"/>
      <c r="G2" s="109"/>
      <c r="H2" s="109"/>
      <c r="I2" s="61"/>
      <c r="J2" s="61"/>
      <c r="K2" s="61"/>
      <c r="L2" s="61"/>
      <c r="M2" s="36"/>
      <c r="N2" s="36"/>
      <c r="O2" s="1"/>
      <c r="P2" s="1"/>
      <c r="Q2" s="1"/>
      <c r="R2" s="1"/>
      <c r="S2" s="36"/>
      <c r="T2" s="36"/>
      <c r="U2" s="1"/>
      <c r="V2" s="1"/>
      <c r="W2" s="1"/>
      <c r="X2" s="1"/>
    </row>
    <row r="3" spans="1:24" ht="15" customHeight="1">
      <c r="A3" s="110" t="s">
        <v>0</v>
      </c>
      <c r="B3" s="113" t="s">
        <v>1</v>
      </c>
      <c r="C3" s="116" t="s">
        <v>8</v>
      </c>
      <c r="D3" s="117"/>
      <c r="E3" s="103" t="s">
        <v>9</v>
      </c>
      <c r="F3" s="103"/>
      <c r="G3" s="103"/>
      <c r="H3" s="103"/>
      <c r="I3" s="103"/>
      <c r="J3" s="103"/>
      <c r="K3" s="102" t="s">
        <v>7</v>
      </c>
      <c r="L3" s="102"/>
      <c r="M3" s="1"/>
      <c r="N3" s="37"/>
      <c r="O3" s="40"/>
      <c r="P3" s="40"/>
      <c r="Q3" s="40"/>
      <c r="R3" s="40"/>
      <c r="S3" s="1"/>
      <c r="T3" s="37"/>
      <c r="U3" s="40"/>
      <c r="V3" s="40"/>
      <c r="W3" s="40"/>
      <c r="X3" s="40"/>
    </row>
    <row r="4" spans="1:24">
      <c r="A4" s="111"/>
      <c r="B4" s="114"/>
      <c r="C4" s="116"/>
      <c r="D4" s="117"/>
      <c r="E4" s="103" t="s">
        <v>5</v>
      </c>
      <c r="F4" s="103"/>
      <c r="G4" s="102" t="s">
        <v>4</v>
      </c>
      <c r="H4" s="102"/>
      <c r="I4" s="103" t="s">
        <v>6</v>
      </c>
      <c r="J4" s="103"/>
      <c r="K4" s="102"/>
      <c r="L4" s="102"/>
      <c r="M4" s="1"/>
      <c r="N4" s="37"/>
      <c r="O4" s="40"/>
      <c r="P4" s="40"/>
      <c r="Q4" s="40"/>
      <c r="R4" s="40"/>
      <c r="S4" s="1"/>
      <c r="T4" s="37"/>
      <c r="U4" s="40"/>
      <c r="V4" s="40"/>
      <c r="W4" s="40"/>
      <c r="X4" s="40"/>
    </row>
    <row r="5" spans="1:24" ht="63">
      <c r="A5" s="112"/>
      <c r="B5" s="115"/>
      <c r="C5" s="75" t="s">
        <v>128</v>
      </c>
      <c r="D5" s="76" t="s">
        <v>127</v>
      </c>
      <c r="E5" s="75" t="s">
        <v>128</v>
      </c>
      <c r="F5" s="76" t="s">
        <v>127</v>
      </c>
      <c r="G5" s="75" t="s">
        <v>128</v>
      </c>
      <c r="H5" s="76" t="s">
        <v>127</v>
      </c>
      <c r="I5" s="75" t="s">
        <v>128</v>
      </c>
      <c r="J5" s="76" t="s">
        <v>127</v>
      </c>
      <c r="K5" s="75" t="s">
        <v>128</v>
      </c>
      <c r="L5" s="77" t="s">
        <v>127</v>
      </c>
      <c r="M5" s="1"/>
      <c r="N5" s="37"/>
      <c r="O5" s="40"/>
      <c r="P5" s="40"/>
      <c r="Q5" s="40"/>
      <c r="R5" s="40"/>
      <c r="S5" s="1"/>
      <c r="T5" s="37"/>
      <c r="U5" s="40"/>
      <c r="V5" s="40"/>
      <c r="W5" s="40"/>
      <c r="X5" s="40"/>
    </row>
    <row r="6" spans="1:24">
      <c r="A6" s="99" t="s">
        <v>10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1"/>
      <c r="M6" s="1"/>
      <c r="N6" s="37"/>
      <c r="O6" s="40"/>
      <c r="P6" s="40"/>
      <c r="Q6" s="40"/>
      <c r="R6" s="40"/>
      <c r="S6" s="1"/>
      <c r="T6" s="37"/>
      <c r="U6" s="40"/>
      <c r="V6" s="40"/>
      <c r="W6" s="40"/>
      <c r="X6" s="40"/>
    </row>
    <row r="7" spans="1:24">
      <c r="A7" s="47" t="s">
        <v>215</v>
      </c>
      <c r="B7" s="74" t="s">
        <v>27</v>
      </c>
      <c r="C7" s="15">
        <v>200</v>
      </c>
      <c r="D7" s="18">
        <v>200</v>
      </c>
      <c r="E7" s="13">
        <f>C7*2.88/100</f>
        <v>5.76</v>
      </c>
      <c r="F7" s="17">
        <f>D7*2.88/100</f>
        <v>5.76</v>
      </c>
      <c r="G7" s="13">
        <f>C7*2.61/100</f>
        <v>5.22</v>
      </c>
      <c r="H7" s="17">
        <f>D7*2.61/100</f>
        <v>5.22</v>
      </c>
      <c r="I7" s="13">
        <f>C7*9.42/100</f>
        <v>18.84</v>
      </c>
      <c r="J7" s="17">
        <f>D7*9.42/100</f>
        <v>18.84</v>
      </c>
      <c r="K7" s="13">
        <f t="shared" ref="K7:L11" si="0">E7*4+G7*9+I7*4</f>
        <v>145.38</v>
      </c>
      <c r="L7" s="17">
        <f t="shared" si="0"/>
        <v>145.38</v>
      </c>
      <c r="M7" s="1"/>
      <c r="N7" s="37"/>
      <c r="O7" s="40"/>
      <c r="P7" s="40"/>
      <c r="Q7" s="40"/>
      <c r="R7" s="40"/>
      <c r="S7" s="1"/>
      <c r="T7" s="37"/>
      <c r="U7" s="40"/>
      <c r="V7" s="40"/>
      <c r="W7" s="40"/>
      <c r="X7" s="40"/>
    </row>
    <row r="8" spans="1:24">
      <c r="A8" s="65"/>
      <c r="B8" s="2" t="s">
        <v>2</v>
      </c>
      <c r="C8" s="14">
        <v>30</v>
      </c>
      <c r="D8" s="21">
        <v>40</v>
      </c>
      <c r="E8" s="14">
        <f>C8*7.5/100</f>
        <v>2.25</v>
      </c>
      <c r="F8" s="27">
        <f>D8*7.5/100</f>
        <v>3</v>
      </c>
      <c r="G8" s="13">
        <f>C8*2.9/100</f>
        <v>0.87</v>
      </c>
      <c r="H8" s="18">
        <f>D8*2.9/100</f>
        <v>1.1599999999999999</v>
      </c>
      <c r="I8" s="15">
        <f>C8*51.4/100</f>
        <v>15.42</v>
      </c>
      <c r="J8" s="18">
        <f>D8*51.4/100</f>
        <v>20.56</v>
      </c>
      <c r="K8" s="15">
        <f t="shared" si="0"/>
        <v>78.509999999999991</v>
      </c>
      <c r="L8" s="18">
        <f t="shared" si="0"/>
        <v>104.67999999999999</v>
      </c>
      <c r="M8" s="1"/>
      <c r="N8" s="37"/>
      <c r="O8" s="40"/>
      <c r="P8" s="40"/>
      <c r="Q8" s="40"/>
      <c r="R8" s="40"/>
      <c r="S8" s="1"/>
      <c r="T8" s="37"/>
      <c r="U8" s="40"/>
      <c r="V8" s="40"/>
      <c r="W8" s="40"/>
      <c r="X8" s="40"/>
    </row>
    <row r="9" spans="1:24">
      <c r="A9" s="81" t="s">
        <v>177</v>
      </c>
      <c r="B9" s="4" t="s">
        <v>176</v>
      </c>
      <c r="C9" s="15">
        <v>10</v>
      </c>
      <c r="D9" s="22">
        <v>10</v>
      </c>
      <c r="E9" s="15">
        <f>C9*0.08/10</f>
        <v>0.08</v>
      </c>
      <c r="F9" s="18">
        <f>D9*0.08/10</f>
        <v>0.08</v>
      </c>
      <c r="G9" s="13">
        <f>C9*7.25/10</f>
        <v>7.25</v>
      </c>
      <c r="H9" s="17">
        <f>D9*7.25/10</f>
        <v>7.25</v>
      </c>
      <c r="I9" s="13">
        <f>C9*0.13/10</f>
        <v>0.13</v>
      </c>
      <c r="J9" s="17">
        <f>D9*0.13/10</f>
        <v>0.13</v>
      </c>
      <c r="K9" s="13">
        <f t="shared" si="0"/>
        <v>66.089999999999989</v>
      </c>
      <c r="L9" s="17">
        <f t="shared" si="0"/>
        <v>66.089999999999989</v>
      </c>
      <c r="M9" s="1"/>
      <c r="N9" s="37"/>
      <c r="O9" s="40"/>
      <c r="P9" s="40"/>
      <c r="Q9" s="40"/>
      <c r="R9" s="40"/>
      <c r="S9" s="1"/>
      <c r="T9" s="37"/>
      <c r="U9" s="40"/>
      <c r="V9" s="40"/>
      <c r="W9" s="40"/>
      <c r="X9" s="40"/>
    </row>
    <row r="10" spans="1:24">
      <c r="A10" s="47" t="s">
        <v>140</v>
      </c>
      <c r="B10" s="2" t="s">
        <v>141</v>
      </c>
      <c r="C10" s="15">
        <v>200</v>
      </c>
      <c r="D10" s="18">
        <v>200</v>
      </c>
      <c r="E10" s="13">
        <f>C10*0.06/180</f>
        <v>6.6666666666666666E-2</v>
      </c>
      <c r="F10" s="17">
        <f>D10*0.06/180</f>
        <v>6.6666666666666666E-2</v>
      </c>
      <c r="G10" s="13">
        <f>C10*0/50</f>
        <v>0</v>
      </c>
      <c r="H10" s="17">
        <f>D10*0/50</f>
        <v>0</v>
      </c>
      <c r="I10" s="13">
        <f>C10*9.99/180</f>
        <v>11.1</v>
      </c>
      <c r="J10" s="17">
        <f>D10*9.99/180</f>
        <v>11.1</v>
      </c>
      <c r="K10" s="13">
        <f t="shared" si="0"/>
        <v>44.666666666666664</v>
      </c>
      <c r="L10" s="17">
        <f t="shared" si="0"/>
        <v>44.666666666666664</v>
      </c>
      <c r="M10" s="1"/>
      <c r="N10" s="37"/>
      <c r="O10" s="40"/>
      <c r="P10" s="40"/>
      <c r="Q10" s="40"/>
      <c r="R10" s="40"/>
      <c r="S10" s="1"/>
      <c r="T10" s="37"/>
      <c r="U10" s="40"/>
      <c r="V10" s="40"/>
      <c r="W10" s="40"/>
      <c r="X10" s="40"/>
    </row>
    <row r="11" spans="1:24">
      <c r="A11" s="64"/>
      <c r="B11" s="7" t="s">
        <v>19</v>
      </c>
      <c r="C11" s="62">
        <f t="shared" ref="C11:J11" si="1">SUM(C7:C10)</f>
        <v>440</v>
      </c>
      <c r="D11" s="23">
        <f t="shared" si="1"/>
        <v>450</v>
      </c>
      <c r="E11" s="10">
        <f t="shared" si="1"/>
        <v>8.1566666666666663</v>
      </c>
      <c r="F11" s="16">
        <f t="shared" si="1"/>
        <v>8.9066666666666663</v>
      </c>
      <c r="G11" s="10">
        <f t="shared" si="1"/>
        <v>13.34</v>
      </c>
      <c r="H11" s="16">
        <f t="shared" si="1"/>
        <v>13.629999999999999</v>
      </c>
      <c r="I11" s="10">
        <f t="shared" si="1"/>
        <v>45.49</v>
      </c>
      <c r="J11" s="16">
        <f t="shared" si="1"/>
        <v>50.63</v>
      </c>
      <c r="K11" s="10">
        <f t="shared" si="0"/>
        <v>334.64666666666665</v>
      </c>
      <c r="L11" s="16">
        <f t="shared" si="0"/>
        <v>360.81666666666666</v>
      </c>
      <c r="M11" s="1"/>
      <c r="N11" s="37"/>
      <c r="O11" s="40"/>
      <c r="P11" s="40"/>
      <c r="Q11" s="40"/>
      <c r="R11" s="40"/>
      <c r="S11" s="1"/>
      <c r="T11" s="37"/>
      <c r="U11" s="40"/>
      <c r="V11" s="40"/>
      <c r="W11" s="40"/>
      <c r="X11" s="40"/>
    </row>
    <row r="12" spans="1:24">
      <c r="A12" s="104" t="s">
        <v>11</v>
      </c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06"/>
      <c r="M12" s="1"/>
      <c r="N12" s="37"/>
      <c r="O12" s="40"/>
      <c r="P12" s="40"/>
      <c r="Q12" s="40"/>
      <c r="R12" s="40"/>
      <c r="S12" s="1"/>
      <c r="T12" s="37"/>
      <c r="U12" s="40"/>
      <c r="V12" s="40"/>
      <c r="W12" s="40"/>
      <c r="X12" s="40"/>
    </row>
    <row r="13" spans="1:24">
      <c r="A13" s="47"/>
      <c r="B13" s="2" t="s">
        <v>206</v>
      </c>
      <c r="C13" s="15">
        <v>60</v>
      </c>
      <c r="D13" s="25">
        <v>100</v>
      </c>
      <c r="E13" s="13">
        <f>C13*1.1/100</f>
        <v>0.66</v>
      </c>
      <c r="F13" s="17">
        <f>D13*1.1/100</f>
        <v>1.1000000000000001</v>
      </c>
      <c r="G13" s="13">
        <f>C13*0.2/100</f>
        <v>0.12</v>
      </c>
      <c r="H13" s="17">
        <f>D13*0.2/100</f>
        <v>0.2</v>
      </c>
      <c r="I13" s="13">
        <f>C13*3.8/100</f>
        <v>2.2799999999999998</v>
      </c>
      <c r="J13" s="17">
        <f>D13*3.8/100</f>
        <v>3.8</v>
      </c>
      <c r="K13" s="83">
        <f t="shared" ref="K13:L28" si="2">E13*4+G13*9+I13*4</f>
        <v>12.84</v>
      </c>
      <c r="L13" s="84">
        <f t="shared" si="2"/>
        <v>21.4</v>
      </c>
      <c r="M13" s="1"/>
      <c r="N13" s="37"/>
      <c r="O13" s="40"/>
      <c r="P13" s="40"/>
      <c r="Q13" s="40"/>
      <c r="R13" s="40"/>
      <c r="S13" s="1"/>
      <c r="T13" s="37"/>
      <c r="U13" s="40"/>
      <c r="V13" s="40"/>
      <c r="W13" s="40"/>
      <c r="X13" s="40"/>
    </row>
    <row r="14" spans="1:24">
      <c r="A14" s="47" t="s">
        <v>196</v>
      </c>
      <c r="B14" s="2" t="s">
        <v>28</v>
      </c>
      <c r="C14" s="14">
        <v>200</v>
      </c>
      <c r="D14" s="54">
        <v>250</v>
      </c>
      <c r="E14" s="83">
        <f>C14*2/250</f>
        <v>1.6</v>
      </c>
      <c r="F14" s="84">
        <f>D14*2/250</f>
        <v>2</v>
      </c>
      <c r="G14" s="83">
        <f>C14*5.2/250</f>
        <v>4.16</v>
      </c>
      <c r="H14" s="84">
        <f>D14*5.2/250</f>
        <v>5.2</v>
      </c>
      <c r="I14" s="83">
        <f>C14*13.1/250</f>
        <v>10.48</v>
      </c>
      <c r="J14" s="84">
        <f>D14*13.1/250</f>
        <v>13.1</v>
      </c>
      <c r="K14" s="83">
        <f t="shared" si="2"/>
        <v>85.759999999999991</v>
      </c>
      <c r="L14" s="84">
        <f t="shared" si="2"/>
        <v>107.2</v>
      </c>
      <c r="M14" s="1"/>
      <c r="N14" s="37"/>
      <c r="O14" s="40"/>
      <c r="P14" s="40"/>
      <c r="Q14" s="40"/>
      <c r="R14" s="40"/>
      <c r="S14" s="1"/>
      <c r="T14" s="37"/>
      <c r="U14" s="40"/>
      <c r="V14" s="40"/>
      <c r="W14" s="40"/>
      <c r="X14" s="40"/>
    </row>
    <row r="15" spans="1:24">
      <c r="A15" s="47"/>
      <c r="B15" s="5" t="s">
        <v>161</v>
      </c>
      <c r="C15" s="15">
        <v>10</v>
      </c>
      <c r="D15" s="18">
        <v>10</v>
      </c>
      <c r="E15" s="15">
        <f>C15*2.6/100</f>
        <v>0.26</v>
      </c>
      <c r="F15" s="18">
        <f>D15*2.6/100</f>
        <v>0.26</v>
      </c>
      <c r="G15" s="13">
        <f>C15*15/100</f>
        <v>1.5</v>
      </c>
      <c r="H15" s="17">
        <f>D15*15/100</f>
        <v>1.5</v>
      </c>
      <c r="I15" s="15">
        <f>C15*3.6/100</f>
        <v>0.36</v>
      </c>
      <c r="J15" s="18">
        <f>D15*3.6/100</f>
        <v>0.36</v>
      </c>
      <c r="K15" s="13">
        <f t="shared" si="2"/>
        <v>15.979999999999999</v>
      </c>
      <c r="L15" s="17">
        <f t="shared" si="2"/>
        <v>15.979999999999999</v>
      </c>
      <c r="M15" s="32"/>
      <c r="N15" s="32"/>
      <c r="O15" s="40"/>
      <c r="P15" s="40"/>
      <c r="Q15" s="40"/>
      <c r="R15" s="40"/>
      <c r="S15" s="1"/>
      <c r="T15" s="37"/>
      <c r="U15" s="40"/>
      <c r="V15" s="40"/>
      <c r="W15" s="40"/>
      <c r="X15" s="40"/>
    </row>
    <row r="16" spans="1:24">
      <c r="A16" s="47" t="s">
        <v>181</v>
      </c>
      <c r="B16" s="2" t="s">
        <v>182</v>
      </c>
      <c r="C16" s="15">
        <v>150</v>
      </c>
      <c r="D16" s="18">
        <v>180</v>
      </c>
      <c r="E16" s="13">
        <f>C16*2.1/100</f>
        <v>3.15</v>
      </c>
      <c r="F16" s="17">
        <f>D16*2.1/100</f>
        <v>3.78</v>
      </c>
      <c r="G16" s="13">
        <f>C16*4.5/100</f>
        <v>6.75</v>
      </c>
      <c r="H16" s="17">
        <f>D16*4.5/100</f>
        <v>8.1</v>
      </c>
      <c r="I16" s="13">
        <f>C16*14.6/100</f>
        <v>21.9</v>
      </c>
      <c r="J16" s="17">
        <f>D16*14.6/100</f>
        <v>26.28</v>
      </c>
      <c r="K16" s="13">
        <f t="shared" si="2"/>
        <v>160.94999999999999</v>
      </c>
      <c r="L16" s="17">
        <f t="shared" si="2"/>
        <v>193.14</v>
      </c>
      <c r="M16" s="1"/>
      <c r="N16" s="37"/>
      <c r="O16" s="40"/>
      <c r="P16" s="40"/>
      <c r="Q16" s="40"/>
      <c r="R16" s="40"/>
      <c r="S16" s="1"/>
      <c r="T16" s="37"/>
      <c r="U16" s="40"/>
      <c r="V16" s="40"/>
      <c r="W16" s="40"/>
      <c r="X16" s="40"/>
    </row>
    <row r="17" spans="1:24">
      <c r="A17" s="47" t="s">
        <v>245</v>
      </c>
      <c r="B17" s="2" t="s">
        <v>32</v>
      </c>
      <c r="C17" s="15">
        <v>90</v>
      </c>
      <c r="D17" s="18">
        <v>100</v>
      </c>
      <c r="E17" s="13">
        <f>C17*14.12/160</f>
        <v>7.9424999999999999</v>
      </c>
      <c r="F17" s="17">
        <f>D17*14.12/160</f>
        <v>8.8249999999999993</v>
      </c>
      <c r="G17" s="13">
        <f>C17*9.04/160</f>
        <v>5.0849999999999991</v>
      </c>
      <c r="H17" s="17">
        <f>D17*9.04/160</f>
        <v>5.6499999999999995</v>
      </c>
      <c r="I17" s="13">
        <f>C17*20.26/160</f>
        <v>11.39625</v>
      </c>
      <c r="J17" s="17">
        <f>D17*20.26/160</f>
        <v>12.662500000000001</v>
      </c>
      <c r="K17" s="13">
        <f t="shared" si="2"/>
        <v>123.12</v>
      </c>
      <c r="L17" s="17">
        <f t="shared" si="2"/>
        <v>136.80000000000001</v>
      </c>
      <c r="M17" s="1"/>
      <c r="N17" s="37"/>
      <c r="O17" s="40"/>
      <c r="P17" s="40"/>
      <c r="Q17" s="40"/>
      <c r="R17" s="40"/>
      <c r="S17" s="1"/>
      <c r="T17" s="37"/>
      <c r="U17" s="40"/>
      <c r="V17" s="40"/>
      <c r="W17" s="40"/>
      <c r="X17" s="40"/>
    </row>
    <row r="18" spans="1:24">
      <c r="A18" s="47" t="s">
        <v>165</v>
      </c>
      <c r="B18" s="2" t="s">
        <v>24</v>
      </c>
      <c r="C18" s="15">
        <v>20</v>
      </c>
      <c r="D18" s="18">
        <v>30</v>
      </c>
      <c r="E18" s="13">
        <f>C18*1.3/50</f>
        <v>0.52</v>
      </c>
      <c r="F18" s="17">
        <f>D18*1.3/50</f>
        <v>0.78</v>
      </c>
      <c r="G18" s="13">
        <f>C18*4.8/50</f>
        <v>1.92</v>
      </c>
      <c r="H18" s="17">
        <f>D18*4.8/50</f>
        <v>2.88</v>
      </c>
      <c r="I18" s="13">
        <f>C18*4.7/50</f>
        <v>1.88</v>
      </c>
      <c r="J18" s="17">
        <f>D18*4.7/50</f>
        <v>2.82</v>
      </c>
      <c r="K18" s="13">
        <f t="shared" si="2"/>
        <v>26.88</v>
      </c>
      <c r="L18" s="17">
        <f t="shared" si="2"/>
        <v>40.32</v>
      </c>
      <c r="M18" s="1"/>
      <c r="N18" s="37"/>
      <c r="O18" s="40"/>
      <c r="P18" s="40"/>
      <c r="Q18" s="40"/>
      <c r="R18" s="40"/>
      <c r="S18" s="1"/>
      <c r="T18" s="37"/>
      <c r="U18" s="40"/>
      <c r="V18" s="40"/>
      <c r="W18" s="40"/>
      <c r="X18" s="40"/>
    </row>
    <row r="19" spans="1:24">
      <c r="A19" s="47" t="s">
        <v>136</v>
      </c>
      <c r="B19" s="2" t="s">
        <v>137</v>
      </c>
      <c r="C19" s="15">
        <v>200</v>
      </c>
      <c r="D19" s="18">
        <v>200</v>
      </c>
      <c r="E19" s="13">
        <f>C19*0.6/200</f>
        <v>0.6</v>
      </c>
      <c r="F19" s="17">
        <f>D19*0.6/200</f>
        <v>0.6</v>
      </c>
      <c r="G19" s="24">
        <f>C19*0/200</f>
        <v>0</v>
      </c>
      <c r="H19" s="19">
        <f>D19*0/100</f>
        <v>0</v>
      </c>
      <c r="I19" s="13">
        <f>C19*31.4/200</f>
        <v>31.4</v>
      </c>
      <c r="J19" s="17">
        <f>D19*31.4/200</f>
        <v>31.4</v>
      </c>
      <c r="K19" s="13">
        <f t="shared" si="2"/>
        <v>128</v>
      </c>
      <c r="L19" s="17">
        <f t="shared" si="2"/>
        <v>128</v>
      </c>
      <c r="M19" s="1"/>
      <c r="N19" s="37"/>
      <c r="O19" s="40"/>
      <c r="P19" s="40"/>
      <c r="Q19" s="40"/>
      <c r="R19" s="40"/>
      <c r="S19" s="1"/>
      <c r="T19" s="37"/>
      <c r="U19" s="40"/>
      <c r="V19" s="40"/>
      <c r="W19" s="40"/>
      <c r="X19" s="40"/>
    </row>
    <row r="20" spans="1:24">
      <c r="A20" s="65"/>
      <c r="B20" s="5" t="s">
        <v>217</v>
      </c>
      <c r="C20" s="15">
        <v>30</v>
      </c>
      <c r="D20" s="18">
        <v>40</v>
      </c>
      <c r="E20" s="13">
        <f>C20*6.6/100</f>
        <v>1.98</v>
      </c>
      <c r="F20" s="17">
        <f>D20*6.6/100</f>
        <v>2.64</v>
      </c>
      <c r="G20" s="13">
        <f>C20*1.1/100</f>
        <v>0.33</v>
      </c>
      <c r="H20" s="17">
        <f>D20*1.1/100</f>
        <v>0.44</v>
      </c>
      <c r="I20" s="13">
        <f>C20*43.9/100</f>
        <v>13.17</v>
      </c>
      <c r="J20" s="17">
        <f>D20*43.9/100</f>
        <v>17.559999999999999</v>
      </c>
      <c r="K20" s="13">
        <f t="shared" si="2"/>
        <v>63.57</v>
      </c>
      <c r="L20" s="17">
        <f t="shared" si="2"/>
        <v>84.759999999999991</v>
      </c>
      <c r="M20" s="1"/>
      <c r="N20" s="37"/>
      <c r="O20" s="40"/>
      <c r="P20" s="40"/>
      <c r="Q20" s="40"/>
      <c r="R20" s="40"/>
      <c r="S20" s="1"/>
      <c r="T20" s="37"/>
      <c r="U20" s="40"/>
      <c r="V20" s="40"/>
      <c r="W20" s="40"/>
      <c r="X20" s="40"/>
    </row>
    <row r="21" spans="1:24">
      <c r="A21" s="65"/>
      <c r="B21" s="5" t="s">
        <v>216</v>
      </c>
      <c r="C21" s="15">
        <v>30</v>
      </c>
      <c r="D21" s="18">
        <v>40</v>
      </c>
      <c r="E21" s="13">
        <f>C21*7.7/100</f>
        <v>2.31</v>
      </c>
      <c r="F21" s="17">
        <f>D21*7.7/100</f>
        <v>3.08</v>
      </c>
      <c r="G21" s="13">
        <f>C21*0.8/100</f>
        <v>0.24</v>
      </c>
      <c r="H21" s="17">
        <f>D21*0.8/100</f>
        <v>0.32</v>
      </c>
      <c r="I21" s="13">
        <f>C21*49.5/100</f>
        <v>14.85</v>
      </c>
      <c r="J21" s="17">
        <f>D21*49.5/100</f>
        <v>19.8</v>
      </c>
      <c r="K21" s="13">
        <f t="shared" si="2"/>
        <v>70.8</v>
      </c>
      <c r="L21" s="17">
        <f t="shared" si="2"/>
        <v>94.4</v>
      </c>
      <c r="M21" s="1"/>
      <c r="N21" s="37"/>
      <c r="O21" s="40"/>
      <c r="P21" s="40"/>
      <c r="Q21" s="40"/>
      <c r="R21" s="40"/>
      <c r="S21" s="1"/>
      <c r="T21" s="37"/>
      <c r="U21" s="40"/>
      <c r="V21" s="40"/>
      <c r="W21" s="40"/>
      <c r="X21" s="40"/>
    </row>
    <row r="22" spans="1:24">
      <c r="A22" s="65"/>
      <c r="B22" s="5" t="s">
        <v>248</v>
      </c>
      <c r="C22" s="15">
        <v>100</v>
      </c>
      <c r="D22" s="18">
        <v>100</v>
      </c>
      <c r="E22" s="13">
        <v>0.4</v>
      </c>
      <c r="F22" s="17">
        <v>0.4</v>
      </c>
      <c r="G22" s="13">
        <v>0.4</v>
      </c>
      <c r="H22" s="17">
        <v>0.4</v>
      </c>
      <c r="I22" s="13">
        <v>9.8000000000000007</v>
      </c>
      <c r="J22" s="17">
        <v>9.8000000000000007</v>
      </c>
      <c r="K22" s="13">
        <f t="shared" si="2"/>
        <v>44.400000000000006</v>
      </c>
      <c r="L22" s="17">
        <f t="shared" si="2"/>
        <v>44.400000000000006</v>
      </c>
      <c r="M22" s="1"/>
      <c r="N22" s="37"/>
      <c r="O22" s="40"/>
      <c r="P22" s="40"/>
      <c r="Q22" s="40"/>
      <c r="R22" s="40"/>
      <c r="S22" s="1"/>
      <c r="T22" s="37"/>
      <c r="U22" s="40"/>
      <c r="V22" s="40"/>
      <c r="W22" s="40"/>
      <c r="X22" s="40"/>
    </row>
    <row r="23" spans="1:24">
      <c r="A23" s="65"/>
      <c r="B23" s="7" t="s">
        <v>20</v>
      </c>
      <c r="C23" s="62">
        <f t="shared" ref="C23:L23" si="3">SUM(C13:C22)</f>
        <v>890</v>
      </c>
      <c r="D23" s="28">
        <f t="shared" si="3"/>
        <v>1050</v>
      </c>
      <c r="E23" s="10">
        <f t="shared" si="3"/>
        <v>19.422499999999996</v>
      </c>
      <c r="F23" s="16">
        <f t="shared" si="3"/>
        <v>23.465000000000003</v>
      </c>
      <c r="G23" s="62">
        <f t="shared" si="3"/>
        <v>20.504999999999999</v>
      </c>
      <c r="H23" s="16">
        <f t="shared" si="3"/>
        <v>24.689999999999998</v>
      </c>
      <c r="I23" s="62">
        <f t="shared" si="3"/>
        <v>117.51624999999999</v>
      </c>
      <c r="J23" s="16">
        <f t="shared" si="3"/>
        <v>137.58250000000001</v>
      </c>
      <c r="K23" s="10">
        <f t="shared" si="3"/>
        <v>732.3</v>
      </c>
      <c r="L23" s="16">
        <f t="shared" si="3"/>
        <v>866.4</v>
      </c>
      <c r="M23" s="1"/>
      <c r="N23" s="37"/>
      <c r="O23" s="40"/>
      <c r="P23" s="40"/>
      <c r="Q23" s="40"/>
      <c r="R23" s="40"/>
      <c r="S23" s="1"/>
      <c r="T23" s="37"/>
      <c r="U23" s="40"/>
      <c r="V23" s="40"/>
      <c r="W23" s="40"/>
      <c r="X23" s="40"/>
    </row>
    <row r="24" spans="1:24">
      <c r="A24" s="99"/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1"/>
      <c r="M24" s="1"/>
      <c r="N24" s="37"/>
      <c r="O24" s="40"/>
      <c r="P24" s="40"/>
      <c r="Q24" s="40"/>
      <c r="R24" s="40"/>
      <c r="S24" s="1"/>
      <c r="T24" s="37"/>
      <c r="U24" s="40"/>
      <c r="V24" s="40"/>
      <c r="W24" s="40"/>
      <c r="X24" s="40"/>
    </row>
    <row r="25" spans="1:24">
      <c r="A25" s="29"/>
      <c r="B25" s="30" t="s">
        <v>16</v>
      </c>
      <c r="C25" s="31"/>
      <c r="D25" s="31"/>
      <c r="E25" s="33">
        <f t="shared" ref="E25:L25" si="4">E11+E23</f>
        <v>27.579166666666662</v>
      </c>
      <c r="F25" s="34">
        <f t="shared" si="4"/>
        <v>32.37166666666667</v>
      </c>
      <c r="G25" s="33">
        <f t="shared" si="4"/>
        <v>33.844999999999999</v>
      </c>
      <c r="H25" s="34">
        <f t="shared" si="4"/>
        <v>38.319999999999993</v>
      </c>
      <c r="I25" s="33">
        <f t="shared" si="4"/>
        <v>163.00624999999999</v>
      </c>
      <c r="J25" s="34">
        <f t="shared" si="4"/>
        <v>188.21250000000001</v>
      </c>
      <c r="K25" s="33">
        <f t="shared" si="4"/>
        <v>1066.9466666666667</v>
      </c>
      <c r="L25" s="34">
        <f t="shared" si="4"/>
        <v>1227.2166666666667</v>
      </c>
      <c r="M25" s="1"/>
      <c r="N25" s="37"/>
      <c r="O25" s="40"/>
      <c r="P25" s="40"/>
      <c r="Q25" s="40"/>
      <c r="R25" s="40"/>
      <c r="S25" s="1"/>
      <c r="T25" s="37"/>
      <c r="U25" s="40"/>
      <c r="V25" s="40"/>
      <c r="W25" s="40"/>
      <c r="X25" s="40"/>
    </row>
    <row r="26" spans="1:24">
      <c r="A26" s="65"/>
      <c r="B26" s="39" t="s">
        <v>30</v>
      </c>
      <c r="C26" s="38"/>
      <c r="D26" s="38"/>
      <c r="E26" s="79">
        <v>46.2</v>
      </c>
      <c r="F26" s="80">
        <v>54</v>
      </c>
      <c r="G26" s="79">
        <v>47.4</v>
      </c>
      <c r="H26" s="79">
        <v>55.2</v>
      </c>
      <c r="I26" s="80">
        <v>201</v>
      </c>
      <c r="J26" s="79">
        <v>229.8</v>
      </c>
      <c r="K26" s="80">
        <v>1410</v>
      </c>
      <c r="L26" s="80">
        <v>1632</v>
      </c>
      <c r="M26" s="1"/>
      <c r="N26" s="37"/>
      <c r="O26" s="40"/>
      <c r="P26" s="40"/>
      <c r="Q26" s="40"/>
      <c r="R26" s="40"/>
      <c r="S26" s="1"/>
      <c r="T26" s="37"/>
      <c r="U26" s="40"/>
      <c r="V26" s="40"/>
      <c r="W26" s="40"/>
      <c r="X26" s="40"/>
    </row>
    <row r="27" spans="1:24">
      <c r="A27" s="99" t="s">
        <v>35</v>
      </c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1"/>
      <c r="M27" s="1"/>
      <c r="N27" s="37"/>
      <c r="O27" s="40"/>
      <c r="P27" s="40"/>
      <c r="Q27" s="40"/>
      <c r="R27" s="40"/>
      <c r="S27" s="1"/>
      <c r="T27" s="37"/>
      <c r="U27" s="40"/>
      <c r="V27" s="40"/>
      <c r="W27" s="40"/>
      <c r="X27" s="40"/>
    </row>
    <row r="28" spans="1:24">
      <c r="A28" s="47" t="s">
        <v>246</v>
      </c>
      <c r="B28" s="2" t="s">
        <v>247</v>
      </c>
      <c r="C28" s="15">
        <v>130</v>
      </c>
      <c r="D28" s="18">
        <v>130</v>
      </c>
      <c r="E28" s="13">
        <f>C28*9.05/130</f>
        <v>9.0500000000000007</v>
      </c>
      <c r="F28" s="17">
        <f>D28*9.05/130</f>
        <v>9.0500000000000007</v>
      </c>
      <c r="G28" s="13">
        <f>C28*8.11/130</f>
        <v>8.11</v>
      </c>
      <c r="H28" s="17">
        <f>D28*8.11/130</f>
        <v>8.11</v>
      </c>
      <c r="I28" s="13">
        <f>C28*55.5/130</f>
        <v>55.5</v>
      </c>
      <c r="J28" s="17">
        <f>D28*55.5/130</f>
        <v>55.5</v>
      </c>
      <c r="K28" s="13">
        <f t="shared" si="2"/>
        <v>331.19</v>
      </c>
      <c r="L28" s="17">
        <f t="shared" si="2"/>
        <v>331.19</v>
      </c>
      <c r="M28" s="1"/>
      <c r="N28" s="37"/>
      <c r="O28" s="40"/>
      <c r="P28" s="40"/>
      <c r="Q28" s="40"/>
      <c r="R28" s="40"/>
      <c r="S28" s="1"/>
      <c r="T28" s="37"/>
      <c r="U28" s="40"/>
      <c r="V28" s="40"/>
      <c r="W28" s="40"/>
      <c r="X28" s="40"/>
    </row>
    <row r="29" spans="1:24">
      <c r="A29" s="47" t="s">
        <v>140</v>
      </c>
      <c r="B29" s="2" t="s">
        <v>141</v>
      </c>
      <c r="C29" s="15">
        <v>200</v>
      </c>
      <c r="D29" s="18">
        <v>200</v>
      </c>
      <c r="E29" s="13">
        <f>C29*0.06/180</f>
        <v>6.6666666666666666E-2</v>
      </c>
      <c r="F29" s="17">
        <f>D29*0.06/180</f>
        <v>6.6666666666666666E-2</v>
      </c>
      <c r="G29" s="13">
        <f>C29*0/50</f>
        <v>0</v>
      </c>
      <c r="H29" s="17">
        <f>D29*0/50</f>
        <v>0</v>
      </c>
      <c r="I29" s="13">
        <f>C29*9.99/180</f>
        <v>11.1</v>
      </c>
      <c r="J29" s="17">
        <f>D29*9.99/180</f>
        <v>11.1</v>
      </c>
      <c r="K29" s="13">
        <f t="shared" ref="K29:L29" si="5">E29*4+G29*9+I29*4</f>
        <v>44.666666666666664</v>
      </c>
      <c r="L29" s="17">
        <f t="shared" si="5"/>
        <v>44.666666666666664</v>
      </c>
      <c r="M29" s="1"/>
      <c r="N29" s="37"/>
      <c r="O29" s="40"/>
      <c r="P29" s="40"/>
      <c r="Q29" s="40"/>
      <c r="R29" s="40"/>
      <c r="S29" s="1"/>
      <c r="T29" s="37"/>
      <c r="U29" s="40"/>
      <c r="V29" s="40"/>
      <c r="W29" s="40"/>
      <c r="X29" s="40"/>
    </row>
    <row r="30" spans="1:24">
      <c r="A30" s="65"/>
      <c r="B30" s="7" t="s">
        <v>18</v>
      </c>
      <c r="C30" s="62">
        <f t="shared" ref="C30:L30" si="6">SUM(C28:C29)</f>
        <v>330</v>
      </c>
      <c r="D30" s="11">
        <f t="shared" si="6"/>
        <v>330</v>
      </c>
      <c r="E30" s="10">
        <f t="shared" si="6"/>
        <v>9.1166666666666671</v>
      </c>
      <c r="F30" s="16">
        <f t="shared" si="6"/>
        <v>9.1166666666666671</v>
      </c>
      <c r="G30" s="10">
        <f t="shared" si="6"/>
        <v>8.11</v>
      </c>
      <c r="H30" s="11">
        <f t="shared" si="6"/>
        <v>8.11</v>
      </c>
      <c r="I30" s="62">
        <f t="shared" si="6"/>
        <v>66.599999999999994</v>
      </c>
      <c r="J30" s="11">
        <f t="shared" si="6"/>
        <v>66.599999999999994</v>
      </c>
      <c r="K30" s="10">
        <f t="shared" si="6"/>
        <v>375.85666666666668</v>
      </c>
      <c r="L30" s="16">
        <f t="shared" si="6"/>
        <v>375.85666666666668</v>
      </c>
      <c r="M30" s="36"/>
      <c r="N30" s="49"/>
      <c r="O30" s="40"/>
      <c r="P30" s="40"/>
      <c r="Q30" s="40"/>
      <c r="R30" s="40"/>
      <c r="S30" s="36"/>
      <c r="T30" s="37"/>
      <c r="U30" s="40"/>
      <c r="V30" s="40"/>
      <c r="W30" s="40"/>
      <c r="X30" s="40"/>
    </row>
    <row r="31" spans="1:24">
      <c r="A31" s="99"/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1"/>
      <c r="N31" s="50"/>
      <c r="T31" s="51"/>
    </row>
    <row r="32" spans="1:24">
      <c r="A32" s="26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N32" s="44"/>
      <c r="T32" s="40"/>
    </row>
    <row r="33" spans="1:20">
      <c r="A33" s="26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N33" s="44"/>
      <c r="T33" s="40"/>
    </row>
    <row r="34" spans="1:20">
      <c r="A34" s="26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N34" s="45"/>
      <c r="T34" s="46"/>
    </row>
    <row r="35" spans="1:20">
      <c r="A35" s="26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N35" s="1"/>
      <c r="T35" s="1"/>
    </row>
    <row r="36" spans="1:20">
      <c r="A36" s="26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T36" s="1"/>
    </row>
    <row r="37" spans="1:20">
      <c r="A37" s="26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</row>
    <row r="38" spans="1:20">
      <c r="A38" s="26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</row>
    <row r="39" spans="1:20">
      <c r="A39" s="26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</row>
    <row r="40" spans="1:20">
      <c r="A40" s="36"/>
      <c r="B40" s="36"/>
      <c r="C40" s="36"/>
      <c r="D40" s="32"/>
      <c r="E40" s="32"/>
      <c r="F40" s="32"/>
      <c r="G40" s="32"/>
      <c r="H40" s="32"/>
      <c r="I40" s="32"/>
      <c r="J40" s="32"/>
      <c r="K40" s="32"/>
      <c r="L40" s="32"/>
    </row>
    <row r="41" spans="1:20">
      <c r="A41" s="1"/>
      <c r="B41" s="1"/>
      <c r="C41" s="37"/>
      <c r="D41" s="26"/>
      <c r="E41" s="26"/>
      <c r="F41" s="26"/>
      <c r="G41" s="26"/>
      <c r="H41" s="26"/>
      <c r="I41" s="26"/>
      <c r="J41" s="26"/>
      <c r="K41" s="26"/>
      <c r="L41" s="26"/>
      <c r="M41" s="1"/>
    </row>
    <row r="42" spans="1:20">
      <c r="A42" s="1"/>
      <c r="B42" s="1"/>
      <c r="C42" s="37"/>
      <c r="D42" s="26"/>
      <c r="E42" s="26"/>
      <c r="F42" s="26"/>
      <c r="G42" s="26"/>
      <c r="H42" s="26"/>
      <c r="I42" s="26"/>
      <c r="J42" s="26"/>
      <c r="K42" s="26"/>
      <c r="L42" s="26"/>
      <c r="M42" s="1"/>
    </row>
    <row r="43" spans="1:20">
      <c r="A43" s="1"/>
      <c r="B43" s="1"/>
      <c r="C43" s="37"/>
      <c r="D43" s="26"/>
      <c r="E43" s="26"/>
      <c r="F43" s="26"/>
      <c r="G43" s="26"/>
      <c r="H43" s="26"/>
      <c r="I43" s="26"/>
      <c r="J43" s="26"/>
      <c r="K43" s="26"/>
      <c r="L43" s="26"/>
      <c r="M43" s="1"/>
    </row>
    <row r="44" spans="1:20">
      <c r="A44" s="1"/>
      <c r="B44" s="1"/>
      <c r="C44" s="37"/>
      <c r="D44" s="26"/>
      <c r="E44" s="26"/>
      <c r="F44" s="26"/>
      <c r="G44" s="26"/>
      <c r="H44" s="26"/>
      <c r="I44" s="26"/>
      <c r="J44" s="26"/>
      <c r="K44" s="26"/>
      <c r="L44" s="26"/>
      <c r="M44" s="1"/>
    </row>
    <row r="45" spans="1:20">
      <c r="A45" s="1"/>
      <c r="B45" s="1"/>
      <c r="C45" s="37"/>
      <c r="D45" s="1"/>
      <c r="I45" s="8"/>
      <c r="J45" s="8"/>
      <c r="K45" s="8"/>
      <c r="L45" s="8"/>
    </row>
    <row r="46" spans="1:20">
      <c r="A46" s="1"/>
      <c r="B46" s="1"/>
      <c r="C46" s="37"/>
      <c r="D46" s="1"/>
    </row>
    <row r="47" spans="1:20">
      <c r="A47" s="1"/>
      <c r="B47" s="1"/>
      <c r="C47" s="37"/>
      <c r="D47" s="1"/>
    </row>
    <row r="48" spans="1:20">
      <c r="A48" s="1"/>
      <c r="B48" s="1"/>
      <c r="C48" s="37"/>
      <c r="D48" s="1"/>
    </row>
    <row r="49" spans="1:4">
      <c r="A49" s="1"/>
      <c r="B49" s="1"/>
      <c r="C49" s="37"/>
      <c r="D49" s="1"/>
    </row>
    <row r="50" spans="1:4">
      <c r="A50" s="1"/>
      <c r="B50" s="1"/>
      <c r="C50" s="37"/>
      <c r="D50" s="1"/>
    </row>
    <row r="51" spans="1:4">
      <c r="A51" s="1"/>
      <c r="B51" s="1"/>
      <c r="C51" s="37"/>
      <c r="D51" s="1"/>
    </row>
    <row r="52" spans="1:4">
      <c r="A52" s="1"/>
      <c r="B52" s="1"/>
      <c r="C52" s="37"/>
      <c r="D52" s="1"/>
    </row>
    <row r="53" spans="1:4">
      <c r="A53" s="1"/>
      <c r="B53" s="1"/>
      <c r="C53" s="37"/>
      <c r="D53" s="1"/>
    </row>
    <row r="54" spans="1:4">
      <c r="A54" s="1"/>
      <c r="B54" s="1"/>
      <c r="C54" s="37"/>
      <c r="D54" s="1"/>
    </row>
    <row r="55" spans="1:4">
      <c r="A55" s="1"/>
      <c r="B55" s="1"/>
      <c r="C55" s="37"/>
      <c r="D55" s="1"/>
    </row>
    <row r="56" spans="1:4">
      <c r="A56" s="1"/>
      <c r="B56" s="1"/>
      <c r="C56" s="37"/>
      <c r="D56" s="1"/>
    </row>
    <row r="57" spans="1:4">
      <c r="A57" s="1"/>
      <c r="B57" s="1"/>
      <c r="C57" s="37"/>
      <c r="D57" s="1"/>
    </row>
    <row r="58" spans="1:4">
      <c r="A58" s="1"/>
      <c r="B58" s="1"/>
      <c r="C58" s="37"/>
      <c r="D58" s="1"/>
    </row>
    <row r="59" spans="1:4">
      <c r="A59" s="1"/>
      <c r="B59" s="1"/>
      <c r="C59" s="37"/>
      <c r="D59" s="1"/>
    </row>
    <row r="60" spans="1:4">
      <c r="A60" s="1"/>
      <c r="B60" s="1"/>
      <c r="C60" s="37"/>
      <c r="D60" s="1"/>
    </row>
    <row r="61" spans="1:4">
      <c r="A61" s="1"/>
      <c r="B61" s="1"/>
      <c r="C61" s="37"/>
      <c r="D61" s="1"/>
    </row>
    <row r="62" spans="1:4">
      <c r="A62" s="1"/>
      <c r="B62" s="1"/>
      <c r="C62" s="37"/>
      <c r="D62" s="1"/>
    </row>
    <row r="63" spans="1:4">
      <c r="A63" s="1"/>
      <c r="B63" s="1"/>
      <c r="C63" s="37"/>
      <c r="D63" s="1"/>
    </row>
    <row r="64" spans="1:4">
      <c r="A64" s="1"/>
      <c r="B64" s="1"/>
      <c r="C64" s="37"/>
      <c r="D64" s="1"/>
    </row>
    <row r="65" spans="1:4">
      <c r="A65" s="1"/>
      <c r="B65" s="1"/>
      <c r="C65" s="37"/>
      <c r="D65" s="1"/>
    </row>
    <row r="66" spans="1:4">
      <c r="A66" s="1"/>
      <c r="B66" s="1"/>
      <c r="C66" s="37"/>
      <c r="D66" s="1"/>
    </row>
    <row r="67" spans="1:4">
      <c r="A67" s="1"/>
      <c r="B67" s="1"/>
      <c r="C67" s="1"/>
    </row>
    <row r="68" spans="1:4">
      <c r="A68" s="1"/>
      <c r="B68" s="1"/>
      <c r="C68" s="1"/>
    </row>
    <row r="69" spans="1:4">
      <c r="A69" s="1"/>
      <c r="B69" s="1"/>
      <c r="C69" s="1"/>
    </row>
    <row r="70" spans="1:4">
      <c r="A70" s="1"/>
      <c r="B70" s="1"/>
      <c r="C70" s="1"/>
    </row>
    <row r="71" spans="1:4">
      <c r="A71" s="1"/>
      <c r="B71" s="1"/>
      <c r="C71" s="1"/>
    </row>
  </sheetData>
  <mergeCells count="17">
    <mergeCell ref="A1:B1"/>
    <mergeCell ref="E1:H1"/>
    <mergeCell ref="A2:D2"/>
    <mergeCell ref="E2:H2"/>
    <mergeCell ref="A3:A5"/>
    <mergeCell ref="B3:B5"/>
    <mergeCell ref="C3:D4"/>
    <mergeCell ref="E3:J3"/>
    <mergeCell ref="A24:L24"/>
    <mergeCell ref="A27:L27"/>
    <mergeCell ref="A31:L31"/>
    <mergeCell ref="K3:L4"/>
    <mergeCell ref="E4:F4"/>
    <mergeCell ref="G4:H4"/>
    <mergeCell ref="I4:J4"/>
    <mergeCell ref="A6:L6"/>
    <mergeCell ref="A12:L12"/>
  </mergeCells>
  <pageMargins left="0.32291666666666669" right="0.7" top="0.29166666666666669" bottom="0.44791666666666669" header="0.3" footer="0.3"/>
  <pageSetup paperSize="9" orientation="landscape" horizontalDpi="180" verticalDpi="1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X72"/>
  <sheetViews>
    <sheetView topLeftCell="A10" zoomScaleNormal="100" workbookViewId="0">
      <selection activeCell="B16" sqref="B16"/>
    </sheetView>
  </sheetViews>
  <sheetFormatPr defaultRowHeight="15"/>
  <cols>
    <col min="1" max="1" width="10.5703125" style="73" customWidth="1"/>
    <col min="2" max="2" width="37" style="73" customWidth="1"/>
    <col min="3" max="3" width="7.28515625" style="73" customWidth="1"/>
    <col min="4" max="4" width="9" style="73" customWidth="1"/>
    <col min="5" max="5" width="6.7109375" style="73" customWidth="1"/>
    <col min="6" max="6" width="6.85546875" style="73" customWidth="1"/>
    <col min="7" max="7" width="6.42578125" style="73" customWidth="1"/>
    <col min="8" max="8" width="6.5703125" style="73" customWidth="1"/>
    <col min="9" max="9" width="7.5703125" style="73" customWidth="1"/>
    <col min="10" max="10" width="7.42578125" style="73" customWidth="1"/>
    <col min="11" max="11" width="9.7109375" style="73" customWidth="1"/>
    <col min="12" max="12" width="9.42578125" style="73" customWidth="1"/>
    <col min="13" max="13" width="9" style="73" customWidth="1"/>
    <col min="14" max="14" width="7.28515625" style="73" customWidth="1"/>
    <col min="15" max="18" width="9.140625" style="73"/>
    <col min="19" max="19" width="19.7109375" style="73" customWidth="1"/>
    <col min="20" max="20" width="7.7109375" style="73" customWidth="1"/>
    <col min="21" max="21" width="9.140625" style="73"/>
    <col min="22" max="22" width="7.7109375" style="73" customWidth="1"/>
    <col min="23" max="16384" width="9.140625" style="73"/>
  </cols>
  <sheetData>
    <row r="1" spans="1:24" ht="15.75">
      <c r="A1" s="107" t="s">
        <v>122</v>
      </c>
      <c r="B1" s="107"/>
      <c r="C1" s="60"/>
      <c r="D1" s="60"/>
      <c r="E1" s="108" t="s">
        <v>237</v>
      </c>
      <c r="F1" s="108"/>
      <c r="G1" s="108"/>
      <c r="H1" s="108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5.75">
      <c r="A2" s="109" t="s">
        <v>123</v>
      </c>
      <c r="B2" s="109"/>
      <c r="C2" s="109"/>
      <c r="D2" s="109"/>
      <c r="E2" s="109" t="s">
        <v>195</v>
      </c>
      <c r="F2" s="109"/>
      <c r="G2" s="109"/>
      <c r="H2" s="109"/>
      <c r="I2" s="61"/>
      <c r="J2" s="61"/>
      <c r="K2" s="61"/>
      <c r="L2" s="61"/>
      <c r="M2" s="36"/>
      <c r="N2" s="36"/>
      <c r="O2" s="1"/>
      <c r="P2" s="1"/>
      <c r="Q2" s="1"/>
      <c r="R2" s="1"/>
      <c r="S2" s="36"/>
      <c r="T2" s="36"/>
      <c r="U2" s="1"/>
      <c r="V2" s="1"/>
      <c r="W2" s="1"/>
      <c r="X2" s="1"/>
    </row>
    <row r="3" spans="1:24" ht="15" customHeight="1">
      <c r="A3" s="110" t="s">
        <v>0</v>
      </c>
      <c r="B3" s="113" t="s">
        <v>1</v>
      </c>
      <c r="C3" s="116" t="s">
        <v>8</v>
      </c>
      <c r="D3" s="117"/>
      <c r="E3" s="103" t="s">
        <v>9</v>
      </c>
      <c r="F3" s="103"/>
      <c r="G3" s="103"/>
      <c r="H3" s="103"/>
      <c r="I3" s="103"/>
      <c r="J3" s="103"/>
      <c r="K3" s="102" t="s">
        <v>7</v>
      </c>
      <c r="L3" s="102"/>
      <c r="M3" s="1"/>
      <c r="N3" s="37"/>
      <c r="O3" s="40"/>
      <c r="P3" s="40"/>
      <c r="Q3" s="40"/>
      <c r="R3" s="40"/>
      <c r="S3" s="1"/>
      <c r="T3" s="37"/>
      <c r="U3" s="40"/>
      <c r="V3" s="40"/>
      <c r="W3" s="40"/>
      <c r="X3" s="40"/>
    </row>
    <row r="4" spans="1:24">
      <c r="A4" s="111"/>
      <c r="B4" s="114"/>
      <c r="C4" s="116"/>
      <c r="D4" s="117"/>
      <c r="E4" s="103" t="s">
        <v>5</v>
      </c>
      <c r="F4" s="103"/>
      <c r="G4" s="102" t="s">
        <v>4</v>
      </c>
      <c r="H4" s="102"/>
      <c r="I4" s="103" t="s">
        <v>6</v>
      </c>
      <c r="J4" s="103"/>
      <c r="K4" s="102"/>
      <c r="L4" s="102"/>
      <c r="M4" s="1"/>
      <c r="N4" s="37"/>
      <c r="O4" s="40"/>
      <c r="P4" s="40"/>
      <c r="Q4" s="40"/>
      <c r="R4" s="40"/>
      <c r="S4" s="1"/>
      <c r="T4" s="37"/>
      <c r="U4" s="40"/>
      <c r="V4" s="40"/>
      <c r="W4" s="40"/>
      <c r="X4" s="40"/>
    </row>
    <row r="5" spans="1:24" ht="63">
      <c r="A5" s="112"/>
      <c r="B5" s="115"/>
      <c r="C5" s="75" t="s">
        <v>128</v>
      </c>
      <c r="D5" s="76" t="s">
        <v>127</v>
      </c>
      <c r="E5" s="75" t="s">
        <v>128</v>
      </c>
      <c r="F5" s="76" t="s">
        <v>127</v>
      </c>
      <c r="G5" s="75" t="s">
        <v>128</v>
      </c>
      <c r="H5" s="76" t="s">
        <v>127</v>
      </c>
      <c r="I5" s="75" t="s">
        <v>128</v>
      </c>
      <c r="J5" s="76" t="s">
        <v>127</v>
      </c>
      <c r="K5" s="75" t="s">
        <v>128</v>
      </c>
      <c r="L5" s="77" t="s">
        <v>127</v>
      </c>
      <c r="M5" s="1"/>
      <c r="N5" s="37"/>
      <c r="O5" s="40"/>
      <c r="P5" s="40"/>
      <c r="Q5" s="40"/>
      <c r="R5" s="40"/>
      <c r="S5" s="1"/>
      <c r="T5" s="37"/>
      <c r="U5" s="40"/>
      <c r="V5" s="40"/>
      <c r="W5" s="40"/>
      <c r="X5" s="40"/>
    </row>
    <row r="6" spans="1:24">
      <c r="A6" s="99" t="s">
        <v>10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1"/>
      <c r="M6" s="1"/>
      <c r="N6" s="37"/>
      <c r="O6" s="40"/>
      <c r="P6" s="40"/>
      <c r="Q6" s="40"/>
      <c r="R6" s="40"/>
      <c r="S6" s="1"/>
      <c r="T6" s="37"/>
      <c r="U6" s="40"/>
      <c r="V6" s="40"/>
      <c r="W6" s="40"/>
      <c r="X6" s="40"/>
    </row>
    <row r="7" spans="1:24">
      <c r="A7" s="47" t="s">
        <v>173</v>
      </c>
      <c r="B7" s="74" t="s">
        <v>174</v>
      </c>
      <c r="C7" s="15">
        <v>160</v>
      </c>
      <c r="D7" s="20">
        <v>200</v>
      </c>
      <c r="E7" s="13">
        <f>C7*3.4/100</f>
        <v>5.44</v>
      </c>
      <c r="F7" s="17">
        <f>D7*3.4/100</f>
        <v>6.8</v>
      </c>
      <c r="G7" s="13">
        <f>C7*4.2/100</f>
        <v>6.72</v>
      </c>
      <c r="H7" s="17">
        <f>D7*4.2/100</f>
        <v>8.4</v>
      </c>
      <c r="I7" s="13">
        <f>C7*18.7/100</f>
        <v>29.92</v>
      </c>
      <c r="J7" s="17">
        <f>D7*18.7/100</f>
        <v>37.4</v>
      </c>
      <c r="K7" s="15">
        <f t="shared" ref="K7:L11" si="0">E7*4+G7*9+I7*4</f>
        <v>201.92000000000002</v>
      </c>
      <c r="L7" s="17">
        <f t="shared" si="0"/>
        <v>252.4</v>
      </c>
      <c r="M7" s="1"/>
      <c r="N7" s="37"/>
      <c r="O7" s="40"/>
      <c r="P7" s="40"/>
      <c r="Q7" s="40"/>
      <c r="R7" s="40"/>
      <c r="S7" s="1"/>
      <c r="T7" s="37"/>
      <c r="U7" s="40"/>
      <c r="V7" s="40"/>
      <c r="W7" s="40"/>
      <c r="X7" s="40"/>
    </row>
    <row r="8" spans="1:24">
      <c r="A8" s="65"/>
      <c r="B8" s="2" t="s">
        <v>2</v>
      </c>
      <c r="C8" s="14">
        <v>30</v>
      </c>
      <c r="D8" s="21">
        <v>40</v>
      </c>
      <c r="E8" s="14">
        <f>C8*7.5/100</f>
        <v>2.25</v>
      </c>
      <c r="F8" s="27">
        <f>D8*7.5/100</f>
        <v>3</v>
      </c>
      <c r="G8" s="13">
        <f>C8*2.9/100</f>
        <v>0.87</v>
      </c>
      <c r="H8" s="18">
        <f>D8*2.9/100</f>
        <v>1.1599999999999999</v>
      </c>
      <c r="I8" s="15">
        <f>C8*51.4/100</f>
        <v>15.42</v>
      </c>
      <c r="J8" s="18">
        <f>D8*51.4/100</f>
        <v>20.56</v>
      </c>
      <c r="K8" s="15">
        <f t="shared" si="0"/>
        <v>78.509999999999991</v>
      </c>
      <c r="L8" s="18">
        <f t="shared" si="0"/>
        <v>104.67999999999999</v>
      </c>
      <c r="M8" s="1"/>
      <c r="N8" s="37"/>
      <c r="O8" s="40"/>
      <c r="P8" s="40"/>
      <c r="Q8" s="40"/>
      <c r="R8" s="40"/>
      <c r="S8" s="1"/>
      <c r="T8" s="37"/>
      <c r="U8" s="40"/>
      <c r="V8" s="40"/>
      <c r="W8" s="40"/>
      <c r="X8" s="40"/>
    </row>
    <row r="9" spans="1:24">
      <c r="A9" s="81" t="s">
        <v>156</v>
      </c>
      <c r="B9" s="4" t="s">
        <v>155</v>
      </c>
      <c r="C9" s="15">
        <v>10</v>
      </c>
      <c r="D9" s="22">
        <v>10</v>
      </c>
      <c r="E9" s="15">
        <f>C9*2.32/10</f>
        <v>2.3199999999999998</v>
      </c>
      <c r="F9" s="18">
        <f>D9*2.31/10</f>
        <v>2.31</v>
      </c>
      <c r="G9" s="13">
        <f>C9*2.96/10</f>
        <v>2.96</v>
      </c>
      <c r="H9" s="17">
        <f>D9*2.96/10</f>
        <v>2.96</v>
      </c>
      <c r="I9" s="24">
        <f>C9*0/10</f>
        <v>0</v>
      </c>
      <c r="J9" s="19">
        <f>D9*0/10</f>
        <v>0</v>
      </c>
      <c r="K9" s="13">
        <f t="shared" si="0"/>
        <v>35.92</v>
      </c>
      <c r="L9" s="17">
        <f t="shared" si="0"/>
        <v>35.880000000000003</v>
      </c>
      <c r="M9" s="1"/>
      <c r="N9" s="37"/>
      <c r="O9" s="40"/>
      <c r="P9" s="40"/>
      <c r="Q9" s="40"/>
      <c r="R9" s="40"/>
      <c r="S9" s="1"/>
      <c r="T9" s="37"/>
      <c r="U9" s="40"/>
      <c r="V9" s="40"/>
      <c r="W9" s="40"/>
      <c r="X9" s="40"/>
    </row>
    <row r="10" spans="1:24">
      <c r="A10" s="47" t="s">
        <v>158</v>
      </c>
      <c r="B10" s="2" t="s">
        <v>25</v>
      </c>
      <c r="C10" s="15">
        <v>200</v>
      </c>
      <c r="D10" s="18">
        <v>200</v>
      </c>
      <c r="E10" s="13">
        <f>C10*2.7/200</f>
        <v>2.7</v>
      </c>
      <c r="F10" s="17">
        <f>D10*2.7/200</f>
        <v>2.7</v>
      </c>
      <c r="G10" s="13">
        <f>C10*2.8/200</f>
        <v>2.8</v>
      </c>
      <c r="H10" s="17">
        <f>D10*2.8/200</f>
        <v>2.8</v>
      </c>
      <c r="I10" s="13">
        <f>C10*22.4/200</f>
        <v>22.4</v>
      </c>
      <c r="J10" s="17">
        <f>D10*22.4/200</f>
        <v>22.4</v>
      </c>
      <c r="K10" s="13">
        <f t="shared" si="0"/>
        <v>125.6</v>
      </c>
      <c r="L10" s="17">
        <f t="shared" si="0"/>
        <v>125.6</v>
      </c>
      <c r="M10" s="1"/>
      <c r="N10" s="37"/>
      <c r="O10" s="40"/>
      <c r="P10" s="40"/>
      <c r="Q10" s="40"/>
      <c r="R10" s="40"/>
      <c r="S10" s="1"/>
      <c r="T10" s="37"/>
      <c r="U10" s="40"/>
      <c r="V10" s="40"/>
      <c r="W10" s="40"/>
      <c r="X10" s="40"/>
    </row>
    <row r="11" spans="1:24">
      <c r="A11" s="64"/>
      <c r="B11" s="7" t="s">
        <v>19</v>
      </c>
      <c r="C11" s="62">
        <f t="shared" ref="C11:J11" si="1">SUM(C7:C10)</f>
        <v>400</v>
      </c>
      <c r="D11" s="23">
        <f t="shared" si="1"/>
        <v>450</v>
      </c>
      <c r="E11" s="10">
        <f t="shared" si="1"/>
        <v>12.71</v>
      </c>
      <c r="F11" s="16">
        <f t="shared" si="1"/>
        <v>14.810000000000002</v>
      </c>
      <c r="G11" s="10">
        <f t="shared" si="1"/>
        <v>13.350000000000001</v>
      </c>
      <c r="H11" s="16">
        <f t="shared" si="1"/>
        <v>15.32</v>
      </c>
      <c r="I11" s="10">
        <f t="shared" si="1"/>
        <v>67.740000000000009</v>
      </c>
      <c r="J11" s="16">
        <f t="shared" si="1"/>
        <v>80.359999999999985</v>
      </c>
      <c r="K11" s="10">
        <f t="shared" si="0"/>
        <v>441.95000000000005</v>
      </c>
      <c r="L11" s="16">
        <f t="shared" si="0"/>
        <v>518.55999999999995</v>
      </c>
      <c r="M11" s="1"/>
      <c r="N11" s="37"/>
      <c r="O11" s="40"/>
      <c r="P11" s="40"/>
      <c r="Q11" s="40"/>
      <c r="R11" s="40"/>
      <c r="S11" s="1"/>
      <c r="T11" s="37"/>
      <c r="U11" s="40"/>
      <c r="V11" s="40"/>
      <c r="W11" s="40"/>
      <c r="X11" s="40"/>
    </row>
    <row r="12" spans="1:24">
      <c r="A12" s="104" t="s">
        <v>11</v>
      </c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06"/>
      <c r="M12" s="1"/>
      <c r="N12" s="37"/>
      <c r="O12" s="40"/>
      <c r="P12" s="40"/>
      <c r="Q12" s="40"/>
      <c r="R12" s="40"/>
      <c r="S12" s="1"/>
      <c r="T12" s="37"/>
      <c r="U12" s="40"/>
      <c r="V12" s="40"/>
      <c r="W12" s="40"/>
      <c r="X12" s="40"/>
    </row>
    <row r="13" spans="1:24">
      <c r="A13" s="47"/>
      <c r="B13" s="5" t="s">
        <v>21</v>
      </c>
      <c r="C13" s="15">
        <v>60</v>
      </c>
      <c r="D13" s="25">
        <v>100</v>
      </c>
      <c r="E13" s="13">
        <f>C13*1/100</f>
        <v>0.6</v>
      </c>
      <c r="F13" s="17">
        <f>D13*1/100</f>
        <v>1</v>
      </c>
      <c r="G13" s="13">
        <f>C13*7/100</f>
        <v>4.2</v>
      </c>
      <c r="H13" s="17">
        <f>D13*7/100</f>
        <v>7</v>
      </c>
      <c r="I13" s="13">
        <f>C13*7/100</f>
        <v>4.2</v>
      </c>
      <c r="J13" s="17">
        <f>D13*7/100</f>
        <v>7</v>
      </c>
      <c r="K13" s="83">
        <f t="shared" ref="K13:L22" si="2">E13*4+G13*9+I13*4</f>
        <v>57</v>
      </c>
      <c r="L13" s="84">
        <f t="shared" si="2"/>
        <v>95</v>
      </c>
      <c r="M13" s="1"/>
      <c r="N13" s="37"/>
      <c r="O13" s="40"/>
      <c r="P13" s="40"/>
      <c r="Q13" s="40"/>
      <c r="R13" s="40"/>
      <c r="S13" s="1"/>
      <c r="T13" s="37"/>
      <c r="U13" s="40"/>
      <c r="V13" s="40"/>
      <c r="W13" s="40"/>
      <c r="X13" s="40"/>
    </row>
    <row r="14" spans="1:24">
      <c r="A14" s="47" t="s">
        <v>252</v>
      </c>
      <c r="B14" s="2" t="s">
        <v>251</v>
      </c>
      <c r="C14" s="14">
        <v>200</v>
      </c>
      <c r="D14" s="54">
        <v>250</v>
      </c>
      <c r="E14" s="83">
        <f>C14*7.9/250</f>
        <v>6.32</v>
      </c>
      <c r="F14" s="84">
        <f>D14*7.9/250</f>
        <v>7.9</v>
      </c>
      <c r="G14" s="83">
        <f>C14*7.5/250</f>
        <v>6</v>
      </c>
      <c r="H14" s="84">
        <f>D14*7.5/250</f>
        <v>7.5</v>
      </c>
      <c r="I14" s="83">
        <f>C14*16.5/250</f>
        <v>13.2</v>
      </c>
      <c r="J14" s="84">
        <f>D14*16.5/250</f>
        <v>16.5</v>
      </c>
      <c r="K14" s="83">
        <f t="shared" si="2"/>
        <v>132.07999999999998</v>
      </c>
      <c r="L14" s="84">
        <f t="shared" si="2"/>
        <v>165.1</v>
      </c>
      <c r="M14" s="1"/>
      <c r="N14" s="37"/>
      <c r="O14" s="40"/>
      <c r="P14" s="40"/>
      <c r="Q14" s="40"/>
      <c r="R14" s="40"/>
      <c r="S14" s="1"/>
      <c r="T14" s="37"/>
      <c r="U14" s="40"/>
      <c r="V14" s="40"/>
      <c r="W14" s="40"/>
      <c r="X14" s="40"/>
    </row>
    <row r="15" spans="1:24">
      <c r="A15" s="47"/>
      <c r="B15" s="5" t="s">
        <v>161</v>
      </c>
      <c r="C15" s="15">
        <v>10</v>
      </c>
      <c r="D15" s="18">
        <v>10</v>
      </c>
      <c r="E15" s="15">
        <f>C15*2.6/100</f>
        <v>0.26</v>
      </c>
      <c r="F15" s="18">
        <f>D15*2.6/100</f>
        <v>0.26</v>
      </c>
      <c r="G15" s="13">
        <f>C15*15/100</f>
        <v>1.5</v>
      </c>
      <c r="H15" s="17">
        <f>D15*15/100</f>
        <v>1.5</v>
      </c>
      <c r="I15" s="15">
        <f>C15*3.6/100</f>
        <v>0.36</v>
      </c>
      <c r="J15" s="18">
        <f>D15*3.6/100</f>
        <v>0.36</v>
      </c>
      <c r="K15" s="13">
        <f t="shared" si="2"/>
        <v>15.979999999999999</v>
      </c>
      <c r="L15" s="17">
        <f t="shared" si="2"/>
        <v>15.979999999999999</v>
      </c>
      <c r="M15" s="32"/>
      <c r="N15" s="32"/>
      <c r="O15" s="40"/>
      <c r="P15" s="40"/>
      <c r="Q15" s="40"/>
      <c r="R15" s="40"/>
      <c r="S15" s="1"/>
      <c r="T15" s="37"/>
      <c r="U15" s="40"/>
      <c r="V15" s="40"/>
      <c r="W15" s="40"/>
      <c r="X15" s="40"/>
    </row>
    <row r="16" spans="1:24">
      <c r="A16" s="65" t="s">
        <v>134</v>
      </c>
      <c r="B16" s="42" t="s">
        <v>14</v>
      </c>
      <c r="C16" s="15">
        <v>150</v>
      </c>
      <c r="D16" s="18">
        <v>180</v>
      </c>
      <c r="E16" s="13">
        <f>C16*3.5/100</f>
        <v>5.25</v>
      </c>
      <c r="F16" s="17">
        <f>D16*3.5/100</f>
        <v>6.3</v>
      </c>
      <c r="G16" s="15">
        <f>C16*4.1/100</f>
        <v>6.15</v>
      </c>
      <c r="H16" s="17">
        <f>D16*4.1/100</f>
        <v>7.379999999999999</v>
      </c>
      <c r="I16" s="13">
        <f>C16*23.5/100</f>
        <v>35.25</v>
      </c>
      <c r="J16" s="17">
        <f>D16*23.5/100</f>
        <v>42.3</v>
      </c>
      <c r="K16" s="13">
        <f t="shared" si="2"/>
        <v>217.35</v>
      </c>
      <c r="L16" s="17">
        <f t="shared" si="2"/>
        <v>260.82</v>
      </c>
      <c r="M16" s="1"/>
      <c r="N16" s="37"/>
      <c r="O16" s="40"/>
      <c r="P16" s="40"/>
      <c r="Q16" s="40"/>
      <c r="R16" s="40"/>
      <c r="S16" s="1"/>
      <c r="T16" s="37"/>
      <c r="U16" s="40"/>
      <c r="V16" s="40"/>
      <c r="W16" s="40"/>
      <c r="X16" s="40"/>
    </row>
    <row r="17" spans="1:24">
      <c r="A17" s="47" t="s">
        <v>254</v>
      </c>
      <c r="B17" s="2" t="s">
        <v>253</v>
      </c>
      <c r="C17" s="15">
        <v>90</v>
      </c>
      <c r="D17" s="18">
        <v>100</v>
      </c>
      <c r="E17" s="13">
        <f>C17*12.61/80</f>
        <v>14.186249999999998</v>
      </c>
      <c r="F17" s="17">
        <f>D17*12.61/80</f>
        <v>15.762499999999999</v>
      </c>
      <c r="G17" s="13">
        <f>C17*7.32/80</f>
        <v>8.2350000000000012</v>
      </c>
      <c r="H17" s="17">
        <f>D17*7.32/80</f>
        <v>9.15</v>
      </c>
      <c r="I17" s="13">
        <f>C17*3.29/80</f>
        <v>3.7012500000000004</v>
      </c>
      <c r="J17" s="17">
        <f>D17*3.29/80</f>
        <v>4.1124999999999998</v>
      </c>
      <c r="K17" s="13">
        <f t="shared" si="2"/>
        <v>145.66500000000002</v>
      </c>
      <c r="L17" s="17">
        <f t="shared" si="2"/>
        <v>161.85</v>
      </c>
      <c r="M17" s="1"/>
      <c r="N17" s="37"/>
      <c r="O17" s="40"/>
      <c r="P17" s="40"/>
      <c r="Q17" s="40"/>
      <c r="R17" s="40"/>
      <c r="S17" s="1"/>
      <c r="T17" s="37"/>
      <c r="U17" s="40"/>
      <c r="V17" s="40"/>
      <c r="W17" s="40"/>
      <c r="X17" s="40"/>
    </row>
    <row r="18" spans="1:24">
      <c r="A18" s="47" t="s">
        <v>165</v>
      </c>
      <c r="B18" s="2" t="s">
        <v>24</v>
      </c>
      <c r="C18" s="15">
        <v>20</v>
      </c>
      <c r="D18" s="18">
        <v>30</v>
      </c>
      <c r="E18" s="13">
        <f>C18*1.3/50</f>
        <v>0.52</v>
      </c>
      <c r="F18" s="17">
        <f>D18*1.3/50</f>
        <v>0.78</v>
      </c>
      <c r="G18" s="13">
        <f>C18*4.8/50</f>
        <v>1.92</v>
      </c>
      <c r="H18" s="17">
        <f>D18*4.8/50</f>
        <v>2.88</v>
      </c>
      <c r="I18" s="13">
        <f>C18*4.7/50</f>
        <v>1.88</v>
      </c>
      <c r="J18" s="17">
        <f>D18*4.7/50</f>
        <v>2.82</v>
      </c>
      <c r="K18" s="13">
        <f t="shared" si="2"/>
        <v>26.88</v>
      </c>
      <c r="L18" s="17">
        <f t="shared" si="2"/>
        <v>40.32</v>
      </c>
      <c r="M18" s="1"/>
      <c r="N18" s="37"/>
      <c r="O18" s="40"/>
      <c r="P18" s="40"/>
      <c r="Q18" s="40"/>
      <c r="R18" s="40"/>
      <c r="S18" s="1"/>
      <c r="T18" s="37"/>
      <c r="U18" s="40"/>
      <c r="V18" s="40"/>
      <c r="W18" s="40"/>
      <c r="X18" s="40"/>
    </row>
    <row r="19" spans="1:24">
      <c r="A19" s="47" t="s">
        <v>186</v>
      </c>
      <c r="B19" s="2" t="s">
        <v>185</v>
      </c>
      <c r="C19" s="15">
        <v>200</v>
      </c>
      <c r="D19" s="18">
        <v>200</v>
      </c>
      <c r="E19" s="13">
        <f>C19*0.06/200</f>
        <v>0.06</v>
      </c>
      <c r="F19" s="17">
        <f>D19*0.06/200</f>
        <v>0.06</v>
      </c>
      <c r="G19" s="13">
        <f>C19*0/50</f>
        <v>0</v>
      </c>
      <c r="H19" s="17">
        <f>D19*0/50</f>
        <v>0</v>
      </c>
      <c r="I19" s="13">
        <f>C19*31.4/200</f>
        <v>31.4</v>
      </c>
      <c r="J19" s="17">
        <f>D19*31.4/200</f>
        <v>31.4</v>
      </c>
      <c r="K19" s="13">
        <f t="shared" si="2"/>
        <v>125.83999999999999</v>
      </c>
      <c r="L19" s="17">
        <f t="shared" si="2"/>
        <v>125.83999999999999</v>
      </c>
      <c r="M19" s="1"/>
      <c r="N19" s="37"/>
      <c r="O19" s="40"/>
      <c r="P19" s="40"/>
      <c r="Q19" s="40"/>
      <c r="R19" s="40"/>
      <c r="S19" s="1"/>
      <c r="T19" s="37"/>
      <c r="U19" s="40"/>
      <c r="V19" s="40"/>
      <c r="W19" s="40"/>
      <c r="X19" s="40"/>
    </row>
    <row r="20" spans="1:24">
      <c r="A20" s="65"/>
      <c r="B20" s="5" t="s">
        <v>217</v>
      </c>
      <c r="C20" s="15">
        <v>30</v>
      </c>
      <c r="D20" s="18">
        <v>40</v>
      </c>
      <c r="E20" s="13">
        <f>C20*6.6/100</f>
        <v>1.98</v>
      </c>
      <c r="F20" s="17">
        <f>D20*6.6/100</f>
        <v>2.64</v>
      </c>
      <c r="G20" s="13">
        <f>C20*1.1/100</f>
        <v>0.33</v>
      </c>
      <c r="H20" s="17">
        <f>D20*1.1/100</f>
        <v>0.44</v>
      </c>
      <c r="I20" s="13">
        <f>C20*43.9/100</f>
        <v>13.17</v>
      </c>
      <c r="J20" s="17">
        <f>D20*43.9/100</f>
        <v>17.559999999999999</v>
      </c>
      <c r="K20" s="13">
        <f t="shared" si="2"/>
        <v>63.57</v>
      </c>
      <c r="L20" s="17">
        <f t="shared" si="2"/>
        <v>84.759999999999991</v>
      </c>
      <c r="M20" s="1"/>
      <c r="N20" s="37"/>
      <c r="O20" s="40"/>
      <c r="P20" s="40"/>
      <c r="Q20" s="40"/>
      <c r="R20" s="40"/>
      <c r="S20" s="1"/>
      <c r="T20" s="37"/>
      <c r="U20" s="40"/>
      <c r="V20" s="40"/>
      <c r="W20" s="40"/>
      <c r="X20" s="40"/>
    </row>
    <row r="21" spans="1:24">
      <c r="A21" s="65"/>
      <c r="B21" s="5" t="s">
        <v>216</v>
      </c>
      <c r="C21" s="15">
        <v>30</v>
      </c>
      <c r="D21" s="18">
        <v>40</v>
      </c>
      <c r="E21" s="13">
        <f>C21*7.7/100</f>
        <v>2.31</v>
      </c>
      <c r="F21" s="17">
        <f>D21*7.7/100</f>
        <v>3.08</v>
      </c>
      <c r="G21" s="13">
        <f>C21*0.8/100</f>
        <v>0.24</v>
      </c>
      <c r="H21" s="17">
        <f>D21*0.8/100</f>
        <v>0.32</v>
      </c>
      <c r="I21" s="13">
        <f>C21*49.5/100</f>
        <v>14.85</v>
      </c>
      <c r="J21" s="17">
        <f>D21*49.5/100</f>
        <v>19.8</v>
      </c>
      <c r="K21" s="13">
        <f t="shared" si="2"/>
        <v>70.8</v>
      </c>
      <c r="L21" s="17">
        <f t="shared" si="2"/>
        <v>94.4</v>
      </c>
      <c r="M21" s="1"/>
      <c r="N21" s="37"/>
      <c r="O21" s="40"/>
      <c r="P21" s="40"/>
      <c r="Q21" s="40"/>
      <c r="R21" s="40"/>
      <c r="S21" s="1"/>
      <c r="T21" s="37"/>
      <c r="U21" s="40"/>
      <c r="V21" s="40"/>
      <c r="W21" s="40"/>
      <c r="X21" s="40"/>
    </row>
    <row r="22" spans="1:24">
      <c r="A22" s="65"/>
      <c r="B22" s="5" t="s">
        <v>248</v>
      </c>
      <c r="C22" s="15">
        <v>100</v>
      </c>
      <c r="D22" s="18">
        <v>100</v>
      </c>
      <c r="E22" s="13">
        <v>0.4</v>
      </c>
      <c r="F22" s="17">
        <v>0.4</v>
      </c>
      <c r="G22" s="13">
        <v>0.4</v>
      </c>
      <c r="H22" s="17">
        <v>0.4</v>
      </c>
      <c r="I22" s="13">
        <v>9.8000000000000007</v>
      </c>
      <c r="J22" s="17">
        <v>9.8000000000000007</v>
      </c>
      <c r="K22" s="13">
        <f t="shared" si="2"/>
        <v>44.400000000000006</v>
      </c>
      <c r="L22" s="17">
        <f t="shared" si="2"/>
        <v>44.400000000000006</v>
      </c>
      <c r="M22" s="1"/>
      <c r="N22" s="37"/>
      <c r="O22" s="40"/>
      <c r="P22" s="40"/>
      <c r="Q22" s="40"/>
      <c r="R22" s="40"/>
      <c r="S22" s="1"/>
      <c r="T22" s="37"/>
      <c r="U22" s="40"/>
      <c r="V22" s="40"/>
      <c r="W22" s="40"/>
      <c r="X22" s="40"/>
    </row>
    <row r="23" spans="1:24">
      <c r="A23" s="65"/>
      <c r="B23" s="7" t="s">
        <v>20</v>
      </c>
      <c r="C23" s="62">
        <f t="shared" ref="C23:L23" si="3">SUM(C13:C22)</f>
        <v>890</v>
      </c>
      <c r="D23" s="28">
        <f t="shared" si="3"/>
        <v>1050</v>
      </c>
      <c r="E23" s="10">
        <f t="shared" si="3"/>
        <v>31.886249999999993</v>
      </c>
      <c r="F23" s="16">
        <f t="shared" si="3"/>
        <v>38.182499999999997</v>
      </c>
      <c r="G23" s="62">
        <f t="shared" si="3"/>
        <v>28.974999999999998</v>
      </c>
      <c r="H23" s="16">
        <f t="shared" si="3"/>
        <v>36.57</v>
      </c>
      <c r="I23" s="62">
        <f t="shared" si="3"/>
        <v>127.81125</v>
      </c>
      <c r="J23" s="16">
        <f t="shared" si="3"/>
        <v>151.6525</v>
      </c>
      <c r="K23" s="10">
        <f t="shared" si="3"/>
        <v>899.56500000000005</v>
      </c>
      <c r="L23" s="16">
        <f t="shared" si="3"/>
        <v>1088.4700000000003</v>
      </c>
      <c r="M23" s="1"/>
      <c r="N23" s="37"/>
      <c r="O23" s="40"/>
      <c r="P23" s="40"/>
      <c r="Q23" s="40"/>
      <c r="R23" s="40"/>
      <c r="S23" s="1"/>
      <c r="T23" s="37"/>
      <c r="U23" s="40"/>
      <c r="V23" s="40"/>
      <c r="W23" s="40"/>
      <c r="X23" s="40"/>
    </row>
    <row r="24" spans="1:24">
      <c r="A24" s="99"/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1"/>
      <c r="M24" s="1"/>
      <c r="N24" s="37"/>
      <c r="O24" s="40"/>
      <c r="P24" s="40"/>
      <c r="Q24" s="40"/>
      <c r="R24" s="40"/>
      <c r="S24" s="1"/>
      <c r="T24" s="37"/>
      <c r="U24" s="40"/>
      <c r="V24" s="40"/>
      <c r="W24" s="40"/>
      <c r="X24" s="40"/>
    </row>
    <row r="25" spans="1:24">
      <c r="A25" s="29"/>
      <c r="B25" s="30" t="s">
        <v>16</v>
      </c>
      <c r="C25" s="31"/>
      <c r="D25" s="31"/>
      <c r="E25" s="33">
        <f t="shared" ref="E25:L25" si="4">E11+E23</f>
        <v>44.596249999999998</v>
      </c>
      <c r="F25" s="34">
        <f t="shared" si="4"/>
        <v>52.9925</v>
      </c>
      <c r="G25" s="33">
        <f t="shared" si="4"/>
        <v>42.325000000000003</v>
      </c>
      <c r="H25" s="34">
        <f t="shared" si="4"/>
        <v>51.89</v>
      </c>
      <c r="I25" s="33">
        <f t="shared" si="4"/>
        <v>195.55125000000001</v>
      </c>
      <c r="J25" s="34">
        <f t="shared" si="4"/>
        <v>232.01249999999999</v>
      </c>
      <c r="K25" s="33">
        <f t="shared" si="4"/>
        <v>1341.5150000000001</v>
      </c>
      <c r="L25" s="34">
        <f t="shared" si="4"/>
        <v>1607.0300000000002</v>
      </c>
      <c r="M25" s="1"/>
      <c r="N25" s="37"/>
      <c r="O25" s="40"/>
      <c r="P25" s="40"/>
      <c r="Q25" s="40"/>
      <c r="R25" s="40"/>
      <c r="S25" s="1"/>
      <c r="T25" s="37"/>
      <c r="U25" s="40"/>
      <c r="V25" s="40"/>
      <c r="W25" s="40"/>
      <c r="X25" s="40"/>
    </row>
    <row r="26" spans="1:24">
      <c r="A26" s="65"/>
      <c r="B26" s="39" t="s">
        <v>30</v>
      </c>
      <c r="C26" s="38"/>
      <c r="D26" s="38"/>
      <c r="E26" s="79">
        <v>46.2</v>
      </c>
      <c r="F26" s="80">
        <v>54</v>
      </c>
      <c r="G26" s="79">
        <v>47.4</v>
      </c>
      <c r="H26" s="79">
        <v>55.2</v>
      </c>
      <c r="I26" s="80">
        <v>201</v>
      </c>
      <c r="J26" s="79">
        <v>229.8</v>
      </c>
      <c r="K26" s="80">
        <v>1410</v>
      </c>
      <c r="L26" s="80">
        <v>1632</v>
      </c>
      <c r="M26" s="1"/>
      <c r="N26" s="37"/>
      <c r="O26" s="40"/>
      <c r="P26" s="40"/>
      <c r="Q26" s="40"/>
      <c r="R26" s="40"/>
      <c r="S26" s="1"/>
      <c r="T26" s="37"/>
      <c r="U26" s="40"/>
      <c r="V26" s="40"/>
      <c r="W26" s="40"/>
      <c r="X26" s="40"/>
    </row>
    <row r="27" spans="1:24">
      <c r="A27" s="99" t="s">
        <v>35</v>
      </c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1"/>
      <c r="M27" s="1"/>
      <c r="N27" s="37"/>
      <c r="O27" s="40"/>
      <c r="P27" s="40"/>
      <c r="Q27" s="40"/>
      <c r="R27" s="40"/>
      <c r="S27" s="1"/>
      <c r="T27" s="37"/>
      <c r="U27" s="40"/>
      <c r="V27" s="40"/>
      <c r="W27" s="40"/>
      <c r="X27" s="40"/>
    </row>
    <row r="28" spans="1:24">
      <c r="A28" s="65" t="s">
        <v>130</v>
      </c>
      <c r="B28" s="4" t="s">
        <v>33</v>
      </c>
      <c r="C28" s="15">
        <v>40</v>
      </c>
      <c r="D28" s="22">
        <v>40</v>
      </c>
      <c r="E28" s="13">
        <f>C28*5.1/40</f>
        <v>5.0999999999999996</v>
      </c>
      <c r="F28" s="17">
        <f>D28*5.1/40</f>
        <v>5.0999999999999996</v>
      </c>
      <c r="G28" s="13">
        <f>C28*4.6/40</f>
        <v>4.5999999999999996</v>
      </c>
      <c r="H28" s="17">
        <f>D28*4.6/40</f>
        <v>4.5999999999999996</v>
      </c>
      <c r="I28" s="13">
        <f>C28*0.3/40</f>
        <v>0.3</v>
      </c>
      <c r="J28" s="17">
        <f>D28*0.3/40</f>
        <v>0.3</v>
      </c>
      <c r="K28" s="13">
        <f t="shared" ref="K28:L30" si="5">E28*4+G28*9+I28*4</f>
        <v>63</v>
      </c>
      <c r="L28" s="17">
        <f t="shared" si="5"/>
        <v>63</v>
      </c>
      <c r="M28" s="1"/>
      <c r="N28" s="37"/>
      <c r="O28" s="40"/>
      <c r="P28" s="40"/>
      <c r="Q28" s="40"/>
      <c r="R28" s="40"/>
      <c r="S28" s="1"/>
      <c r="T28" s="37"/>
      <c r="U28" s="40"/>
      <c r="V28" s="40"/>
      <c r="W28" s="40"/>
      <c r="X28" s="40"/>
    </row>
    <row r="29" spans="1:24">
      <c r="A29" s="65"/>
      <c r="B29" s="5" t="s">
        <v>216</v>
      </c>
      <c r="C29" s="15">
        <v>30</v>
      </c>
      <c r="D29" s="18">
        <v>40</v>
      </c>
      <c r="E29" s="13">
        <f>C29*7.7/100</f>
        <v>2.31</v>
      </c>
      <c r="F29" s="17">
        <f>D29*7.7/100</f>
        <v>3.08</v>
      </c>
      <c r="G29" s="13">
        <f>C29*0.8/100</f>
        <v>0.24</v>
      </c>
      <c r="H29" s="17">
        <f>D29*0.8/100</f>
        <v>0.32</v>
      </c>
      <c r="I29" s="13">
        <f>C29*49.5/100</f>
        <v>14.85</v>
      </c>
      <c r="J29" s="17">
        <f>D29*49.5/100</f>
        <v>19.8</v>
      </c>
      <c r="K29" s="13">
        <f t="shared" si="5"/>
        <v>70.8</v>
      </c>
      <c r="L29" s="17">
        <f t="shared" si="5"/>
        <v>94.4</v>
      </c>
      <c r="M29" s="1"/>
      <c r="N29" s="37"/>
      <c r="O29" s="40"/>
      <c r="P29" s="40"/>
      <c r="Q29" s="40"/>
      <c r="R29" s="40"/>
      <c r="S29" s="1"/>
      <c r="T29" s="37"/>
      <c r="U29" s="40"/>
      <c r="V29" s="40"/>
      <c r="W29" s="40"/>
      <c r="X29" s="40"/>
    </row>
    <row r="30" spans="1:24">
      <c r="A30" s="65" t="s">
        <v>129</v>
      </c>
      <c r="B30" s="5" t="s">
        <v>15</v>
      </c>
      <c r="C30" s="15">
        <v>200</v>
      </c>
      <c r="D30" s="18">
        <v>200</v>
      </c>
      <c r="E30" s="13">
        <f>C30*0.3/200</f>
        <v>0.3</v>
      </c>
      <c r="F30" s="17">
        <f>D30*0.3/200</f>
        <v>0.3</v>
      </c>
      <c r="G30" s="24">
        <f>C30*0/200</f>
        <v>0</v>
      </c>
      <c r="H30" s="17">
        <f>D30*0/200</f>
        <v>0</v>
      </c>
      <c r="I30" s="13">
        <f>C30*15.2/200</f>
        <v>15.2</v>
      </c>
      <c r="J30" s="17">
        <f>D30*15.2/200</f>
        <v>15.2</v>
      </c>
      <c r="K30" s="13">
        <f t="shared" si="5"/>
        <v>62</v>
      </c>
      <c r="L30" s="17">
        <f t="shared" si="5"/>
        <v>62</v>
      </c>
      <c r="M30" s="1"/>
      <c r="N30" s="37"/>
      <c r="O30" s="40"/>
      <c r="P30" s="40"/>
      <c r="Q30" s="40"/>
      <c r="R30" s="40"/>
      <c r="S30" s="1"/>
      <c r="T30" s="37"/>
      <c r="U30" s="40"/>
      <c r="V30" s="40"/>
      <c r="W30" s="40"/>
      <c r="X30" s="40"/>
    </row>
    <row r="31" spans="1:24">
      <c r="A31" s="65"/>
      <c r="B31" s="7" t="s">
        <v>18</v>
      </c>
      <c r="C31" s="62">
        <f t="shared" ref="C31:L31" si="6">SUM(C28:C30)</f>
        <v>270</v>
      </c>
      <c r="D31" s="11">
        <f t="shared" si="6"/>
        <v>280</v>
      </c>
      <c r="E31" s="10">
        <f t="shared" si="6"/>
        <v>7.71</v>
      </c>
      <c r="F31" s="16">
        <f t="shared" si="6"/>
        <v>8.48</v>
      </c>
      <c r="G31" s="10">
        <f t="shared" si="6"/>
        <v>4.84</v>
      </c>
      <c r="H31" s="11">
        <f t="shared" si="6"/>
        <v>4.92</v>
      </c>
      <c r="I31" s="62">
        <f t="shared" si="6"/>
        <v>30.35</v>
      </c>
      <c r="J31" s="11">
        <f t="shared" si="6"/>
        <v>35.299999999999997</v>
      </c>
      <c r="K31" s="10">
        <f t="shared" si="6"/>
        <v>195.8</v>
      </c>
      <c r="L31" s="16">
        <f t="shared" si="6"/>
        <v>219.4</v>
      </c>
      <c r="M31" s="36"/>
      <c r="N31" s="49"/>
      <c r="O31" s="40"/>
      <c r="P31" s="40"/>
      <c r="Q31" s="40"/>
      <c r="R31" s="40"/>
      <c r="S31" s="36"/>
      <c r="T31" s="37"/>
      <c r="U31" s="40"/>
      <c r="V31" s="40"/>
      <c r="W31" s="40"/>
      <c r="X31" s="40"/>
    </row>
    <row r="32" spans="1:24">
      <c r="A32" s="99"/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1"/>
      <c r="N32" s="50"/>
      <c r="T32" s="51"/>
    </row>
    <row r="33" spans="1:20">
      <c r="A33" s="26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N33" s="44"/>
      <c r="T33" s="40"/>
    </row>
    <row r="34" spans="1:20">
      <c r="A34" s="26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N34" s="44"/>
      <c r="T34" s="40"/>
    </row>
    <row r="35" spans="1:20">
      <c r="A35" s="26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N35" s="45"/>
      <c r="T35" s="46"/>
    </row>
    <row r="36" spans="1:20">
      <c r="A36" s="26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N36" s="1"/>
      <c r="T36" s="1"/>
    </row>
    <row r="37" spans="1:20">
      <c r="A37" s="26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T37" s="1"/>
    </row>
    <row r="38" spans="1:20">
      <c r="A38" s="26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</row>
    <row r="39" spans="1:20">
      <c r="A39" s="26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</row>
    <row r="40" spans="1:20">
      <c r="A40" s="26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</row>
    <row r="41" spans="1:20">
      <c r="A41" s="36"/>
      <c r="B41" s="36"/>
      <c r="C41" s="36"/>
      <c r="D41" s="32"/>
      <c r="E41" s="32"/>
      <c r="F41" s="32"/>
      <c r="G41" s="32"/>
      <c r="H41" s="32"/>
      <c r="I41" s="32"/>
      <c r="J41" s="32"/>
      <c r="K41" s="32"/>
      <c r="L41" s="32"/>
    </row>
    <row r="42" spans="1:20">
      <c r="A42" s="1"/>
      <c r="B42" s="1"/>
      <c r="C42" s="37"/>
      <c r="D42" s="26"/>
      <c r="E42" s="26"/>
      <c r="F42" s="26"/>
      <c r="G42" s="26"/>
      <c r="H42" s="26"/>
      <c r="I42" s="26"/>
      <c r="J42" s="26"/>
      <c r="K42" s="26"/>
      <c r="L42" s="26"/>
      <c r="M42" s="1"/>
    </row>
    <row r="43" spans="1:20">
      <c r="A43" s="1"/>
      <c r="B43" s="1"/>
      <c r="C43" s="37"/>
      <c r="D43" s="26"/>
      <c r="E43" s="26"/>
      <c r="F43" s="26"/>
      <c r="G43" s="26"/>
      <c r="H43" s="26"/>
      <c r="I43" s="26"/>
      <c r="J43" s="26"/>
      <c r="K43" s="26"/>
      <c r="L43" s="26"/>
      <c r="M43" s="1"/>
    </row>
    <row r="44" spans="1:20">
      <c r="A44" s="1"/>
      <c r="B44" s="1"/>
      <c r="C44" s="37"/>
      <c r="D44" s="26"/>
      <c r="E44" s="26"/>
      <c r="F44" s="26"/>
      <c r="G44" s="26"/>
      <c r="H44" s="26"/>
      <c r="I44" s="26"/>
      <c r="J44" s="26"/>
      <c r="K44" s="26"/>
      <c r="L44" s="26"/>
      <c r="M44" s="1"/>
    </row>
    <row r="45" spans="1:20">
      <c r="A45" s="1"/>
      <c r="B45" s="1"/>
      <c r="C45" s="37"/>
      <c r="D45" s="26"/>
      <c r="E45" s="26"/>
      <c r="F45" s="26"/>
      <c r="G45" s="26"/>
      <c r="H45" s="26"/>
      <c r="I45" s="26"/>
      <c r="J45" s="26"/>
      <c r="K45" s="26"/>
      <c r="L45" s="26"/>
      <c r="M45" s="1"/>
    </row>
    <row r="46" spans="1:20">
      <c r="A46" s="1"/>
      <c r="B46" s="1"/>
      <c r="C46" s="37"/>
      <c r="D46" s="1"/>
      <c r="I46" s="8"/>
      <c r="J46" s="8"/>
      <c r="K46" s="8"/>
      <c r="L46" s="8"/>
    </row>
    <row r="47" spans="1:20">
      <c r="A47" s="1"/>
      <c r="B47" s="1"/>
      <c r="C47" s="37"/>
      <c r="D47" s="1"/>
    </row>
    <row r="48" spans="1:20">
      <c r="A48" s="1"/>
      <c r="B48" s="1"/>
      <c r="C48" s="37"/>
      <c r="D48" s="1"/>
    </row>
    <row r="49" spans="1:4">
      <c r="A49" s="1"/>
      <c r="B49" s="1"/>
      <c r="C49" s="37"/>
      <c r="D49" s="1"/>
    </row>
    <row r="50" spans="1:4">
      <c r="A50" s="1"/>
      <c r="B50" s="1"/>
      <c r="C50" s="37"/>
      <c r="D50" s="1"/>
    </row>
    <row r="51" spans="1:4">
      <c r="A51" s="1"/>
      <c r="B51" s="1"/>
      <c r="C51" s="37"/>
      <c r="D51" s="1"/>
    </row>
    <row r="52" spans="1:4">
      <c r="A52" s="1"/>
      <c r="B52" s="1"/>
      <c r="C52" s="37"/>
      <c r="D52" s="1"/>
    </row>
    <row r="53" spans="1:4">
      <c r="A53" s="1"/>
      <c r="B53" s="1"/>
      <c r="C53" s="37"/>
      <c r="D53" s="1"/>
    </row>
    <row r="54" spans="1:4">
      <c r="A54" s="1"/>
      <c r="B54" s="1"/>
      <c r="C54" s="37"/>
      <c r="D54" s="1"/>
    </row>
    <row r="55" spans="1:4">
      <c r="A55" s="1"/>
      <c r="B55" s="1"/>
      <c r="C55" s="37"/>
      <c r="D55" s="1"/>
    </row>
    <row r="56" spans="1:4">
      <c r="A56" s="1"/>
      <c r="B56" s="1"/>
      <c r="C56" s="37"/>
      <c r="D56" s="1"/>
    </row>
    <row r="57" spans="1:4">
      <c r="A57" s="1"/>
      <c r="B57" s="1"/>
      <c r="C57" s="37"/>
      <c r="D57" s="1"/>
    </row>
    <row r="58" spans="1:4">
      <c r="A58" s="1"/>
      <c r="B58" s="1"/>
      <c r="C58" s="37"/>
      <c r="D58" s="1"/>
    </row>
    <row r="59" spans="1:4">
      <c r="A59" s="1"/>
      <c r="B59" s="1"/>
      <c r="C59" s="37"/>
      <c r="D59" s="1"/>
    </row>
    <row r="60" spans="1:4">
      <c r="A60" s="1"/>
      <c r="B60" s="1"/>
      <c r="C60" s="37"/>
      <c r="D60" s="1"/>
    </row>
    <row r="61" spans="1:4">
      <c r="A61" s="1"/>
      <c r="B61" s="1"/>
      <c r="C61" s="37"/>
      <c r="D61" s="1"/>
    </row>
    <row r="62" spans="1:4">
      <c r="A62" s="1"/>
      <c r="B62" s="1"/>
      <c r="C62" s="37"/>
      <c r="D62" s="1"/>
    </row>
    <row r="63" spans="1:4">
      <c r="A63" s="1"/>
      <c r="B63" s="1"/>
      <c r="C63" s="37"/>
      <c r="D63" s="1"/>
    </row>
    <row r="64" spans="1:4">
      <c r="A64" s="1"/>
      <c r="B64" s="1"/>
      <c r="C64" s="37"/>
      <c r="D64" s="1"/>
    </row>
    <row r="65" spans="1:4">
      <c r="A65" s="1"/>
      <c r="B65" s="1"/>
      <c r="C65" s="37"/>
      <c r="D65" s="1"/>
    </row>
    <row r="66" spans="1:4">
      <c r="A66" s="1"/>
      <c r="B66" s="1"/>
      <c r="C66" s="37"/>
      <c r="D66" s="1"/>
    </row>
    <row r="67" spans="1:4">
      <c r="A67" s="1"/>
      <c r="B67" s="1"/>
      <c r="C67" s="37"/>
      <c r="D67" s="1"/>
    </row>
    <row r="68" spans="1:4">
      <c r="A68" s="1"/>
      <c r="B68" s="1"/>
      <c r="C68" s="1"/>
    </row>
    <row r="69" spans="1:4">
      <c r="A69" s="1"/>
      <c r="B69" s="1"/>
      <c r="C69" s="1"/>
    </row>
    <row r="70" spans="1:4">
      <c r="A70" s="1"/>
      <c r="B70" s="1"/>
      <c r="C70" s="1"/>
    </row>
    <row r="71" spans="1:4">
      <c r="A71" s="1"/>
      <c r="B71" s="1"/>
      <c r="C71" s="1"/>
    </row>
    <row r="72" spans="1:4">
      <c r="A72" s="1"/>
      <c r="B72" s="1"/>
      <c r="C72" s="1"/>
    </row>
  </sheetData>
  <mergeCells count="17">
    <mergeCell ref="A1:B1"/>
    <mergeCell ref="E1:H1"/>
    <mergeCell ref="A2:D2"/>
    <mergeCell ref="E2:H2"/>
    <mergeCell ref="A3:A5"/>
    <mergeCell ref="B3:B5"/>
    <mergeCell ref="C3:D4"/>
    <mergeCell ref="E3:J3"/>
    <mergeCell ref="A24:L24"/>
    <mergeCell ref="A27:L27"/>
    <mergeCell ref="A32:L32"/>
    <mergeCell ref="K3:L4"/>
    <mergeCell ref="E4:F4"/>
    <mergeCell ref="G4:H4"/>
    <mergeCell ref="I4:J4"/>
    <mergeCell ref="A6:L6"/>
    <mergeCell ref="A12:L12"/>
  </mergeCells>
  <pageMargins left="0.32291666666666669" right="0.7" top="0.29166666666666669" bottom="0.44791666666666669" header="0.3" footer="0.3"/>
  <pageSetup paperSize="9" orientation="landscape" horizontalDpi="180" verticalDpi="1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X69"/>
  <sheetViews>
    <sheetView topLeftCell="A10" zoomScaleNormal="100" workbookViewId="0">
      <selection activeCell="A27" sqref="A27:L27"/>
    </sheetView>
  </sheetViews>
  <sheetFormatPr defaultRowHeight="15"/>
  <cols>
    <col min="1" max="1" width="10.5703125" style="73" customWidth="1"/>
    <col min="2" max="2" width="37" style="73" customWidth="1"/>
    <col min="3" max="3" width="7.28515625" style="73" customWidth="1"/>
    <col min="4" max="4" width="9" style="73" customWidth="1"/>
    <col min="5" max="5" width="6.7109375" style="73" customWidth="1"/>
    <col min="6" max="6" width="6.85546875" style="73" customWidth="1"/>
    <col min="7" max="7" width="6.42578125" style="73" customWidth="1"/>
    <col min="8" max="8" width="6.5703125" style="73" customWidth="1"/>
    <col min="9" max="9" width="7.5703125" style="73" customWidth="1"/>
    <col min="10" max="10" width="7.42578125" style="73" customWidth="1"/>
    <col min="11" max="11" width="9.7109375" style="73" customWidth="1"/>
    <col min="12" max="12" width="9.42578125" style="73" customWidth="1"/>
    <col min="13" max="13" width="9" style="73" customWidth="1"/>
    <col min="14" max="14" width="7.28515625" style="73" customWidth="1"/>
    <col min="15" max="18" width="9.140625" style="73"/>
    <col min="19" max="19" width="19.7109375" style="73" customWidth="1"/>
    <col min="20" max="20" width="7.7109375" style="73" customWidth="1"/>
    <col min="21" max="21" width="9.140625" style="73"/>
    <col min="22" max="22" width="7.7109375" style="73" customWidth="1"/>
    <col min="23" max="16384" width="9.140625" style="73"/>
  </cols>
  <sheetData>
    <row r="1" spans="1:24" ht="15.75">
      <c r="A1" s="107" t="s">
        <v>122</v>
      </c>
      <c r="B1" s="107"/>
      <c r="C1" s="60"/>
      <c r="D1" s="60"/>
      <c r="E1" s="108" t="s">
        <v>237</v>
      </c>
      <c r="F1" s="108"/>
      <c r="G1" s="108"/>
      <c r="H1" s="108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5.75">
      <c r="A2" s="109" t="s">
        <v>123</v>
      </c>
      <c r="B2" s="109"/>
      <c r="C2" s="109"/>
      <c r="D2" s="109"/>
      <c r="E2" s="109" t="s">
        <v>218</v>
      </c>
      <c r="F2" s="109"/>
      <c r="G2" s="109"/>
      <c r="H2" s="109"/>
      <c r="I2" s="61"/>
      <c r="J2" s="61"/>
      <c r="K2" s="61"/>
      <c r="L2" s="61"/>
      <c r="M2" s="36"/>
      <c r="N2" s="36"/>
      <c r="O2" s="1"/>
      <c r="P2" s="1"/>
      <c r="Q2" s="1"/>
      <c r="R2" s="1"/>
      <c r="S2" s="36"/>
      <c r="T2" s="36"/>
      <c r="U2" s="1"/>
      <c r="V2" s="1"/>
      <c r="W2" s="1"/>
      <c r="X2" s="1"/>
    </row>
    <row r="3" spans="1:24" ht="15" customHeight="1">
      <c r="A3" s="110" t="s">
        <v>0</v>
      </c>
      <c r="B3" s="113" t="s">
        <v>1</v>
      </c>
      <c r="C3" s="116" t="s">
        <v>8</v>
      </c>
      <c r="D3" s="117"/>
      <c r="E3" s="103" t="s">
        <v>9</v>
      </c>
      <c r="F3" s="103"/>
      <c r="G3" s="103"/>
      <c r="H3" s="103"/>
      <c r="I3" s="103"/>
      <c r="J3" s="103"/>
      <c r="K3" s="102" t="s">
        <v>7</v>
      </c>
      <c r="L3" s="102"/>
      <c r="M3" s="1"/>
      <c r="N3" s="37"/>
      <c r="O3" s="40"/>
      <c r="P3" s="40"/>
      <c r="Q3" s="40"/>
      <c r="R3" s="40"/>
      <c r="S3" s="1"/>
      <c r="T3" s="37"/>
      <c r="U3" s="40"/>
      <c r="V3" s="40"/>
      <c r="W3" s="40"/>
      <c r="X3" s="40"/>
    </row>
    <row r="4" spans="1:24">
      <c r="A4" s="111"/>
      <c r="B4" s="114"/>
      <c r="C4" s="116"/>
      <c r="D4" s="117"/>
      <c r="E4" s="103" t="s">
        <v>5</v>
      </c>
      <c r="F4" s="103"/>
      <c r="G4" s="102" t="s">
        <v>4</v>
      </c>
      <c r="H4" s="102"/>
      <c r="I4" s="103" t="s">
        <v>6</v>
      </c>
      <c r="J4" s="103"/>
      <c r="K4" s="102"/>
      <c r="L4" s="102"/>
      <c r="M4" s="1"/>
      <c r="N4" s="37"/>
      <c r="O4" s="40"/>
      <c r="P4" s="40"/>
      <c r="Q4" s="40"/>
      <c r="R4" s="40"/>
      <c r="S4" s="1"/>
      <c r="T4" s="37"/>
      <c r="U4" s="40"/>
      <c r="V4" s="40"/>
      <c r="W4" s="40"/>
      <c r="X4" s="40"/>
    </row>
    <row r="5" spans="1:24" ht="63">
      <c r="A5" s="112"/>
      <c r="B5" s="115"/>
      <c r="C5" s="75" t="s">
        <v>128</v>
      </c>
      <c r="D5" s="76" t="s">
        <v>127</v>
      </c>
      <c r="E5" s="75" t="s">
        <v>128</v>
      </c>
      <c r="F5" s="76" t="s">
        <v>127</v>
      </c>
      <c r="G5" s="75" t="s">
        <v>128</v>
      </c>
      <c r="H5" s="76" t="s">
        <v>127</v>
      </c>
      <c r="I5" s="75" t="s">
        <v>128</v>
      </c>
      <c r="J5" s="76" t="s">
        <v>127</v>
      </c>
      <c r="K5" s="75" t="s">
        <v>128</v>
      </c>
      <c r="L5" s="77" t="s">
        <v>127</v>
      </c>
      <c r="M5" s="1"/>
      <c r="N5" s="37"/>
      <c r="O5" s="40"/>
      <c r="P5" s="40"/>
      <c r="Q5" s="40"/>
      <c r="R5" s="40"/>
      <c r="S5" s="1"/>
      <c r="T5" s="37"/>
      <c r="U5" s="40"/>
      <c r="V5" s="40"/>
      <c r="W5" s="40"/>
      <c r="X5" s="40"/>
    </row>
    <row r="6" spans="1:24">
      <c r="A6" s="99" t="s">
        <v>10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1"/>
      <c r="M6" s="1"/>
      <c r="N6" s="37"/>
      <c r="O6" s="40"/>
      <c r="P6" s="40"/>
      <c r="Q6" s="40"/>
      <c r="R6" s="40"/>
      <c r="S6" s="1"/>
      <c r="T6" s="37"/>
      <c r="U6" s="40"/>
      <c r="V6" s="40"/>
      <c r="W6" s="40"/>
      <c r="X6" s="40"/>
    </row>
    <row r="7" spans="1:24">
      <c r="A7" s="47" t="s">
        <v>255</v>
      </c>
      <c r="B7" s="74" t="s">
        <v>256</v>
      </c>
      <c r="C7" s="15">
        <v>150</v>
      </c>
      <c r="D7" s="20">
        <v>200</v>
      </c>
      <c r="E7" s="13">
        <f>C7*10/100</f>
        <v>15</v>
      </c>
      <c r="F7" s="17">
        <f>D7*10/100</f>
        <v>20</v>
      </c>
      <c r="G7" s="13">
        <f>C7*16.7/100</f>
        <v>25.05</v>
      </c>
      <c r="H7" s="17">
        <f>D7*16.7/100</f>
        <v>33.4</v>
      </c>
      <c r="I7" s="13">
        <f>C7*1.9/100</f>
        <v>2.85</v>
      </c>
      <c r="J7" s="17">
        <f>D7*1.9/100</f>
        <v>3.8</v>
      </c>
      <c r="K7" s="15">
        <f t="shared" ref="K7:L11" si="0">E7*4+G7*9+I7*4</f>
        <v>296.85000000000002</v>
      </c>
      <c r="L7" s="17">
        <f t="shared" si="0"/>
        <v>395.79999999999995</v>
      </c>
      <c r="M7" s="1"/>
      <c r="N7" s="37"/>
      <c r="O7" s="40"/>
      <c r="P7" s="40"/>
      <c r="Q7" s="40"/>
      <c r="R7" s="40"/>
      <c r="S7" s="1"/>
      <c r="T7" s="37"/>
      <c r="U7" s="40"/>
      <c r="V7" s="40"/>
      <c r="W7" s="40"/>
      <c r="X7" s="40"/>
    </row>
    <row r="8" spans="1:24">
      <c r="A8" s="65"/>
      <c r="B8" s="2" t="s">
        <v>2</v>
      </c>
      <c r="C8" s="14">
        <v>30</v>
      </c>
      <c r="D8" s="21">
        <v>40</v>
      </c>
      <c r="E8" s="14">
        <f>C8*7.5/100</f>
        <v>2.25</v>
      </c>
      <c r="F8" s="27">
        <f>D8*7.5/100</f>
        <v>3</v>
      </c>
      <c r="G8" s="13">
        <f>C8*2.9/100</f>
        <v>0.87</v>
      </c>
      <c r="H8" s="18">
        <f>D8*2.9/100</f>
        <v>1.1599999999999999</v>
      </c>
      <c r="I8" s="15">
        <f>C8*51.4/100</f>
        <v>15.42</v>
      </c>
      <c r="J8" s="18">
        <f>D8*51.4/100</f>
        <v>20.56</v>
      </c>
      <c r="K8" s="15">
        <f t="shared" si="0"/>
        <v>78.509999999999991</v>
      </c>
      <c r="L8" s="18">
        <f t="shared" si="0"/>
        <v>104.67999999999999</v>
      </c>
      <c r="M8" s="1"/>
      <c r="N8" s="37"/>
      <c r="O8" s="40"/>
      <c r="P8" s="40"/>
      <c r="Q8" s="40"/>
      <c r="R8" s="40"/>
      <c r="S8" s="1"/>
      <c r="T8" s="37"/>
      <c r="U8" s="40"/>
      <c r="V8" s="40"/>
      <c r="W8" s="40"/>
      <c r="X8" s="40"/>
    </row>
    <row r="9" spans="1:24">
      <c r="A9" s="81" t="s">
        <v>177</v>
      </c>
      <c r="B9" s="4" t="s">
        <v>176</v>
      </c>
      <c r="C9" s="15">
        <v>10</v>
      </c>
      <c r="D9" s="22">
        <v>10</v>
      </c>
      <c r="E9" s="15">
        <f>C9*0.08/10</f>
        <v>0.08</v>
      </c>
      <c r="F9" s="18">
        <f>D9*0.08/10</f>
        <v>0.08</v>
      </c>
      <c r="G9" s="13">
        <f>C9*7.25/10</f>
        <v>7.25</v>
      </c>
      <c r="H9" s="17">
        <f>D9*7.25/10</f>
        <v>7.25</v>
      </c>
      <c r="I9" s="13">
        <f>C9*0.13/10</f>
        <v>0.13</v>
      </c>
      <c r="J9" s="17">
        <f>D9*0.13/10</f>
        <v>0.13</v>
      </c>
      <c r="K9" s="13">
        <f t="shared" si="0"/>
        <v>66.089999999999989</v>
      </c>
      <c r="L9" s="17">
        <f t="shared" si="0"/>
        <v>66.089999999999989</v>
      </c>
      <c r="M9" s="1"/>
      <c r="N9" s="37"/>
      <c r="O9" s="40"/>
      <c r="P9" s="40"/>
      <c r="Q9" s="40"/>
      <c r="R9" s="40"/>
      <c r="S9" s="1"/>
      <c r="T9" s="37"/>
      <c r="U9" s="40"/>
      <c r="V9" s="40"/>
      <c r="W9" s="40"/>
      <c r="X9" s="40"/>
    </row>
    <row r="10" spans="1:24">
      <c r="A10" s="65" t="s">
        <v>129</v>
      </c>
      <c r="B10" s="5" t="s">
        <v>15</v>
      </c>
      <c r="C10" s="15">
        <v>200</v>
      </c>
      <c r="D10" s="18">
        <v>200</v>
      </c>
      <c r="E10" s="13">
        <f>C10*0.3/200</f>
        <v>0.3</v>
      </c>
      <c r="F10" s="17">
        <f>D10*0.3/200</f>
        <v>0.3</v>
      </c>
      <c r="G10" s="24">
        <f>C10*0/200</f>
        <v>0</v>
      </c>
      <c r="H10" s="17">
        <f>D10*0/200</f>
        <v>0</v>
      </c>
      <c r="I10" s="13">
        <f>C10*15.2/200</f>
        <v>15.2</v>
      </c>
      <c r="J10" s="17">
        <f>D10*15.2/200</f>
        <v>15.2</v>
      </c>
      <c r="K10" s="13">
        <f t="shared" si="0"/>
        <v>62</v>
      </c>
      <c r="L10" s="17">
        <f t="shared" si="0"/>
        <v>62</v>
      </c>
      <c r="M10" s="1"/>
      <c r="N10" s="37"/>
      <c r="O10" s="40"/>
      <c r="P10" s="40"/>
      <c r="Q10" s="40"/>
      <c r="R10" s="40"/>
      <c r="S10" s="1"/>
      <c r="T10" s="37"/>
      <c r="U10" s="40"/>
      <c r="V10" s="40"/>
      <c r="W10" s="40"/>
      <c r="X10" s="40"/>
    </row>
    <row r="11" spans="1:24">
      <c r="A11" s="64"/>
      <c r="B11" s="7" t="s">
        <v>19</v>
      </c>
      <c r="C11" s="62">
        <f t="shared" ref="C11:J11" si="1">SUM(C7:C10)</f>
        <v>390</v>
      </c>
      <c r="D11" s="23">
        <f t="shared" si="1"/>
        <v>450</v>
      </c>
      <c r="E11" s="10">
        <f t="shared" si="1"/>
        <v>17.63</v>
      </c>
      <c r="F11" s="16">
        <f t="shared" si="1"/>
        <v>23.38</v>
      </c>
      <c r="G11" s="10">
        <f t="shared" si="1"/>
        <v>33.17</v>
      </c>
      <c r="H11" s="16">
        <f t="shared" si="1"/>
        <v>41.809999999999995</v>
      </c>
      <c r="I11" s="10">
        <f t="shared" si="1"/>
        <v>33.599999999999994</v>
      </c>
      <c r="J11" s="16">
        <f t="shared" si="1"/>
        <v>39.69</v>
      </c>
      <c r="K11" s="10">
        <f t="shared" si="0"/>
        <v>503.45</v>
      </c>
      <c r="L11" s="16">
        <f t="shared" si="0"/>
        <v>628.56999999999994</v>
      </c>
      <c r="M11" s="1"/>
      <c r="N11" s="37"/>
      <c r="O11" s="40"/>
      <c r="P11" s="40"/>
      <c r="Q11" s="40"/>
      <c r="R11" s="40"/>
      <c r="S11" s="1"/>
      <c r="T11" s="37"/>
      <c r="U11" s="40"/>
      <c r="V11" s="40"/>
      <c r="W11" s="40"/>
      <c r="X11" s="40"/>
    </row>
    <row r="12" spans="1:24">
      <c r="A12" s="104" t="s">
        <v>11</v>
      </c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06"/>
      <c r="M12" s="1"/>
      <c r="N12" s="37"/>
      <c r="O12" s="40"/>
      <c r="P12" s="40"/>
      <c r="Q12" s="40"/>
      <c r="R12" s="40"/>
      <c r="S12" s="1"/>
      <c r="T12" s="37"/>
      <c r="U12" s="40"/>
      <c r="V12" s="40"/>
      <c r="W12" s="40"/>
      <c r="X12" s="40"/>
    </row>
    <row r="13" spans="1:24">
      <c r="A13" s="47" t="s">
        <v>264</v>
      </c>
      <c r="B13" s="2" t="s">
        <v>263</v>
      </c>
      <c r="C13" s="14">
        <v>60</v>
      </c>
      <c r="D13" s="54">
        <v>100</v>
      </c>
      <c r="E13" s="83">
        <f>C13*1.43/100</f>
        <v>0.85799999999999998</v>
      </c>
      <c r="F13" s="84">
        <f>D13*1.43/100</f>
        <v>1.43</v>
      </c>
      <c r="G13" s="83">
        <f>C13*6.09/100</f>
        <v>3.6539999999999999</v>
      </c>
      <c r="H13" s="84">
        <f>D13*6.09/100</f>
        <v>6.09</v>
      </c>
      <c r="I13" s="83">
        <f>C13*8.36/100</f>
        <v>5.016</v>
      </c>
      <c r="J13" s="84">
        <f>D13*8.36/100</f>
        <v>8.36</v>
      </c>
      <c r="K13" s="83">
        <f t="shared" ref="K13:L13" si="2">E13*4+G13*9+I13*4</f>
        <v>56.381999999999998</v>
      </c>
      <c r="L13" s="84">
        <f t="shared" si="2"/>
        <v>93.97</v>
      </c>
      <c r="M13" s="1"/>
      <c r="N13" s="37"/>
      <c r="O13" s="40"/>
      <c r="P13" s="40"/>
      <c r="Q13" s="40"/>
      <c r="R13" s="40"/>
      <c r="S13" s="1"/>
      <c r="T13" s="37"/>
      <c r="U13" s="40"/>
      <c r="V13" s="40"/>
      <c r="W13" s="40"/>
      <c r="X13" s="40"/>
    </row>
    <row r="14" spans="1:24">
      <c r="A14" s="47" t="s">
        <v>257</v>
      </c>
      <c r="B14" s="74" t="s">
        <v>258</v>
      </c>
      <c r="C14" s="14">
        <v>200</v>
      </c>
      <c r="D14" s="54">
        <v>250</v>
      </c>
      <c r="E14" s="83">
        <f>C14*0.84/100</f>
        <v>1.68</v>
      </c>
      <c r="F14" s="84">
        <f>D14*0.84/100</f>
        <v>2.1</v>
      </c>
      <c r="G14" s="83">
        <f>C14*1.34/100</f>
        <v>2.68</v>
      </c>
      <c r="H14" s="84">
        <f>D14*1.34/100</f>
        <v>3.35</v>
      </c>
      <c r="I14" s="83">
        <f>C14*4.85/100</f>
        <v>9.6999999999999993</v>
      </c>
      <c r="J14" s="84">
        <f>D14*4.85/100</f>
        <v>12.125</v>
      </c>
      <c r="K14" s="83">
        <f t="shared" ref="K14:L20" si="3">E14*4+G14*9+I14*4</f>
        <v>69.64</v>
      </c>
      <c r="L14" s="84">
        <f t="shared" si="3"/>
        <v>87.050000000000011</v>
      </c>
      <c r="M14" s="1"/>
      <c r="N14" s="37"/>
      <c r="O14" s="40"/>
      <c r="P14" s="40"/>
      <c r="Q14" s="40"/>
      <c r="R14" s="40"/>
      <c r="S14" s="1"/>
      <c r="T14" s="37"/>
      <c r="U14" s="40"/>
      <c r="V14" s="40"/>
      <c r="W14" s="40"/>
      <c r="X14" s="40"/>
    </row>
    <row r="15" spans="1:24">
      <c r="A15" s="65" t="s">
        <v>259</v>
      </c>
      <c r="B15" s="42" t="s">
        <v>260</v>
      </c>
      <c r="C15" s="15">
        <v>150</v>
      </c>
      <c r="D15" s="18">
        <v>180</v>
      </c>
      <c r="E15" s="13">
        <f>C15*2.3/100</f>
        <v>3.45</v>
      </c>
      <c r="F15" s="17">
        <f>D15*2.3/100</f>
        <v>4.1399999999999997</v>
      </c>
      <c r="G15" s="15">
        <f>C15*3.7/100</f>
        <v>5.55</v>
      </c>
      <c r="H15" s="17">
        <f>D15*3.7/100</f>
        <v>6.66</v>
      </c>
      <c r="I15" s="13">
        <f>C15*23.4/100</f>
        <v>35.1</v>
      </c>
      <c r="J15" s="17">
        <f>D15*23.4/100</f>
        <v>42.12</v>
      </c>
      <c r="K15" s="13">
        <f t="shared" si="3"/>
        <v>204.15</v>
      </c>
      <c r="L15" s="17">
        <f t="shared" si="3"/>
        <v>244.98</v>
      </c>
      <c r="M15" s="1"/>
      <c r="N15" s="37"/>
      <c r="O15" s="40"/>
      <c r="P15" s="40"/>
      <c r="Q15" s="40"/>
      <c r="R15" s="40"/>
      <c r="S15" s="1"/>
      <c r="T15" s="37"/>
      <c r="U15" s="40"/>
      <c r="V15" s="40"/>
      <c r="W15" s="40"/>
      <c r="X15" s="40"/>
    </row>
    <row r="16" spans="1:24">
      <c r="A16" s="47" t="s">
        <v>262</v>
      </c>
      <c r="B16" s="2" t="s">
        <v>261</v>
      </c>
      <c r="C16" s="15">
        <v>100</v>
      </c>
      <c r="D16" s="18">
        <v>100</v>
      </c>
      <c r="E16" s="13">
        <f>C16*7.42/70</f>
        <v>10.6</v>
      </c>
      <c r="F16" s="17">
        <f>D16*7.42/70</f>
        <v>10.6</v>
      </c>
      <c r="G16" s="13">
        <f>C16*9.33/70</f>
        <v>13.328571428571429</v>
      </c>
      <c r="H16" s="17">
        <f>D16*9.33/70</f>
        <v>13.328571428571429</v>
      </c>
      <c r="I16" s="13">
        <f>C16*2.58/70</f>
        <v>3.6857142857142855</v>
      </c>
      <c r="J16" s="17">
        <f>D16*2.58/70</f>
        <v>3.6857142857142855</v>
      </c>
      <c r="K16" s="13">
        <f t="shared" si="3"/>
        <v>177.1</v>
      </c>
      <c r="L16" s="17">
        <f t="shared" si="3"/>
        <v>177.1</v>
      </c>
      <c r="M16" s="1"/>
      <c r="N16" s="37"/>
      <c r="O16" s="40"/>
      <c r="P16" s="40"/>
      <c r="Q16" s="40"/>
      <c r="R16" s="40"/>
      <c r="S16" s="1"/>
      <c r="T16" s="37"/>
      <c r="U16" s="40"/>
      <c r="V16" s="40"/>
      <c r="W16" s="40"/>
      <c r="X16" s="40"/>
    </row>
    <row r="17" spans="1:24">
      <c r="A17" s="47" t="s">
        <v>136</v>
      </c>
      <c r="B17" s="2" t="s">
        <v>137</v>
      </c>
      <c r="C17" s="15">
        <v>200</v>
      </c>
      <c r="D17" s="18">
        <v>200</v>
      </c>
      <c r="E17" s="13">
        <f>C17*0.6/200</f>
        <v>0.6</v>
      </c>
      <c r="F17" s="17">
        <f>D17*0.6/200</f>
        <v>0.6</v>
      </c>
      <c r="G17" s="24">
        <f>C17*0/200</f>
        <v>0</v>
      </c>
      <c r="H17" s="19">
        <f>D17*0/100</f>
        <v>0</v>
      </c>
      <c r="I17" s="13">
        <f>C17*31.4/200</f>
        <v>31.4</v>
      </c>
      <c r="J17" s="17">
        <f>D17*31.4/200</f>
        <v>31.4</v>
      </c>
      <c r="K17" s="13">
        <f t="shared" si="3"/>
        <v>128</v>
      </c>
      <c r="L17" s="17">
        <f t="shared" si="3"/>
        <v>128</v>
      </c>
      <c r="M17" s="1"/>
      <c r="N17" s="37"/>
      <c r="O17" s="40"/>
      <c r="P17" s="40"/>
      <c r="Q17" s="40"/>
      <c r="R17" s="40"/>
      <c r="S17" s="1"/>
      <c r="T17" s="37"/>
      <c r="U17" s="40"/>
      <c r="V17" s="40"/>
      <c r="W17" s="40"/>
      <c r="X17" s="40"/>
    </row>
    <row r="18" spans="1:24">
      <c r="A18" s="65"/>
      <c r="B18" s="5" t="s">
        <v>217</v>
      </c>
      <c r="C18" s="15">
        <v>30</v>
      </c>
      <c r="D18" s="18">
        <v>40</v>
      </c>
      <c r="E18" s="13">
        <f>C18*6.6/100</f>
        <v>1.98</v>
      </c>
      <c r="F18" s="17">
        <f>D18*6.6/100</f>
        <v>2.64</v>
      </c>
      <c r="G18" s="13">
        <f>C18*1.1/100</f>
        <v>0.33</v>
      </c>
      <c r="H18" s="17">
        <f>D18*1.1/100</f>
        <v>0.44</v>
      </c>
      <c r="I18" s="13">
        <f>C18*43.9/100</f>
        <v>13.17</v>
      </c>
      <c r="J18" s="17">
        <f>D18*43.9/100</f>
        <v>17.559999999999999</v>
      </c>
      <c r="K18" s="13">
        <f t="shared" si="3"/>
        <v>63.57</v>
      </c>
      <c r="L18" s="17">
        <f t="shared" si="3"/>
        <v>84.759999999999991</v>
      </c>
      <c r="M18" s="1"/>
      <c r="N18" s="37"/>
      <c r="O18" s="40"/>
      <c r="P18" s="40"/>
      <c r="Q18" s="40"/>
      <c r="R18" s="40"/>
      <c r="S18" s="1"/>
      <c r="T18" s="37"/>
      <c r="U18" s="40"/>
      <c r="V18" s="40"/>
      <c r="W18" s="40"/>
      <c r="X18" s="40"/>
    </row>
    <row r="19" spans="1:24">
      <c r="A19" s="65"/>
      <c r="B19" s="5" t="s">
        <v>216</v>
      </c>
      <c r="C19" s="15">
        <v>30</v>
      </c>
      <c r="D19" s="18">
        <v>40</v>
      </c>
      <c r="E19" s="13">
        <f>C19*7.7/100</f>
        <v>2.31</v>
      </c>
      <c r="F19" s="17">
        <f>D19*7.7/100</f>
        <v>3.08</v>
      </c>
      <c r="G19" s="13">
        <f>C19*0.8/100</f>
        <v>0.24</v>
      </c>
      <c r="H19" s="17">
        <f>D19*0.8/100</f>
        <v>0.32</v>
      </c>
      <c r="I19" s="13">
        <f>C19*49.5/100</f>
        <v>14.85</v>
      </c>
      <c r="J19" s="17">
        <f>D19*49.5/100</f>
        <v>19.8</v>
      </c>
      <c r="K19" s="13">
        <f t="shared" si="3"/>
        <v>70.8</v>
      </c>
      <c r="L19" s="17">
        <f t="shared" si="3"/>
        <v>94.4</v>
      </c>
      <c r="M19" s="1"/>
      <c r="N19" s="37"/>
      <c r="O19" s="40"/>
      <c r="P19" s="40"/>
      <c r="Q19" s="40"/>
      <c r="R19" s="40"/>
      <c r="S19" s="1"/>
      <c r="T19" s="37"/>
      <c r="U19" s="40"/>
      <c r="V19" s="40"/>
      <c r="W19" s="40"/>
      <c r="X19" s="40"/>
    </row>
    <row r="20" spans="1:24">
      <c r="A20" s="65"/>
      <c r="B20" s="5" t="s">
        <v>248</v>
      </c>
      <c r="C20" s="15">
        <v>100</v>
      </c>
      <c r="D20" s="18">
        <v>100</v>
      </c>
      <c r="E20" s="13">
        <v>0.4</v>
      </c>
      <c r="F20" s="17">
        <v>0.4</v>
      </c>
      <c r="G20" s="13">
        <v>0.4</v>
      </c>
      <c r="H20" s="17">
        <v>0.4</v>
      </c>
      <c r="I20" s="13">
        <v>9.8000000000000007</v>
      </c>
      <c r="J20" s="17">
        <v>9.8000000000000007</v>
      </c>
      <c r="K20" s="13">
        <f t="shared" si="3"/>
        <v>44.400000000000006</v>
      </c>
      <c r="L20" s="17">
        <f t="shared" si="3"/>
        <v>44.400000000000006</v>
      </c>
      <c r="M20" s="1"/>
      <c r="N20" s="37"/>
      <c r="O20" s="40"/>
      <c r="P20" s="40"/>
      <c r="Q20" s="40"/>
      <c r="R20" s="40"/>
      <c r="S20" s="1"/>
      <c r="T20" s="37"/>
      <c r="U20" s="40"/>
      <c r="V20" s="40"/>
      <c r="W20" s="40"/>
      <c r="X20" s="40"/>
    </row>
    <row r="21" spans="1:24">
      <c r="A21" s="65"/>
      <c r="B21" s="7" t="s">
        <v>20</v>
      </c>
      <c r="C21" s="62">
        <f t="shared" ref="C21:L21" si="4">SUM(C13:C20)</f>
        <v>870</v>
      </c>
      <c r="D21" s="28">
        <f t="shared" si="4"/>
        <v>1010</v>
      </c>
      <c r="E21" s="10">
        <f t="shared" si="4"/>
        <v>21.878</v>
      </c>
      <c r="F21" s="16">
        <f t="shared" si="4"/>
        <v>24.990000000000002</v>
      </c>
      <c r="G21" s="62">
        <f t="shared" si="4"/>
        <v>26.182571428571425</v>
      </c>
      <c r="H21" s="16">
        <f t="shared" si="4"/>
        <v>30.588571428571431</v>
      </c>
      <c r="I21" s="62">
        <f t="shared" si="4"/>
        <v>122.72171428571428</v>
      </c>
      <c r="J21" s="16">
        <f t="shared" si="4"/>
        <v>144.8507142857143</v>
      </c>
      <c r="K21" s="10">
        <f t="shared" si="4"/>
        <v>814.04200000000003</v>
      </c>
      <c r="L21" s="16">
        <f t="shared" si="4"/>
        <v>954.66</v>
      </c>
      <c r="M21" s="1"/>
      <c r="N21" s="37"/>
      <c r="O21" s="40"/>
      <c r="P21" s="40"/>
      <c r="Q21" s="40"/>
      <c r="R21" s="40"/>
      <c r="S21" s="1"/>
      <c r="T21" s="37"/>
      <c r="U21" s="40"/>
      <c r="V21" s="40"/>
      <c r="W21" s="40"/>
      <c r="X21" s="40"/>
    </row>
    <row r="22" spans="1:24">
      <c r="A22" s="99"/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1"/>
      <c r="M22" s="1"/>
      <c r="N22" s="37"/>
      <c r="O22" s="40"/>
      <c r="P22" s="40"/>
      <c r="Q22" s="40"/>
      <c r="R22" s="40"/>
      <c r="S22" s="1"/>
      <c r="T22" s="37"/>
      <c r="U22" s="40"/>
      <c r="V22" s="40"/>
      <c r="W22" s="40"/>
      <c r="X22" s="40"/>
    </row>
    <row r="23" spans="1:24">
      <c r="A23" s="29"/>
      <c r="B23" s="30" t="s">
        <v>16</v>
      </c>
      <c r="C23" s="31"/>
      <c r="D23" s="31"/>
      <c r="E23" s="33">
        <f t="shared" ref="E23:L23" si="5">E11+E21</f>
        <v>39.507999999999996</v>
      </c>
      <c r="F23" s="34">
        <f t="shared" si="5"/>
        <v>48.370000000000005</v>
      </c>
      <c r="G23" s="33">
        <f t="shared" si="5"/>
        <v>59.352571428571423</v>
      </c>
      <c r="H23" s="34">
        <f t="shared" si="5"/>
        <v>72.398571428571429</v>
      </c>
      <c r="I23" s="33">
        <f t="shared" si="5"/>
        <v>156.32171428571428</v>
      </c>
      <c r="J23" s="34">
        <f t="shared" si="5"/>
        <v>184.5407142857143</v>
      </c>
      <c r="K23" s="33">
        <f t="shared" si="5"/>
        <v>1317.492</v>
      </c>
      <c r="L23" s="34">
        <f t="shared" si="5"/>
        <v>1583.23</v>
      </c>
      <c r="M23" s="1"/>
      <c r="N23" s="37"/>
      <c r="O23" s="40"/>
      <c r="P23" s="40"/>
      <c r="Q23" s="40"/>
      <c r="R23" s="40"/>
      <c r="S23" s="1"/>
      <c r="T23" s="37"/>
      <c r="U23" s="40"/>
      <c r="V23" s="40"/>
      <c r="W23" s="40"/>
      <c r="X23" s="40"/>
    </row>
    <row r="24" spans="1:24">
      <c r="A24" s="65"/>
      <c r="B24" s="39" t="s">
        <v>30</v>
      </c>
      <c r="C24" s="38"/>
      <c r="D24" s="38"/>
      <c r="E24" s="79">
        <v>46.2</v>
      </c>
      <c r="F24" s="80">
        <v>54</v>
      </c>
      <c r="G24" s="79">
        <v>47.4</v>
      </c>
      <c r="H24" s="79">
        <v>55.2</v>
      </c>
      <c r="I24" s="80">
        <v>201</v>
      </c>
      <c r="J24" s="79">
        <v>229.8</v>
      </c>
      <c r="K24" s="80">
        <v>1410</v>
      </c>
      <c r="L24" s="80">
        <v>1632</v>
      </c>
      <c r="M24" s="1"/>
      <c r="N24" s="37"/>
      <c r="O24" s="40"/>
      <c r="P24" s="40"/>
      <c r="Q24" s="40"/>
      <c r="R24" s="40"/>
      <c r="S24" s="1"/>
      <c r="T24" s="37"/>
      <c r="U24" s="40"/>
      <c r="V24" s="40"/>
      <c r="W24" s="40"/>
      <c r="X24" s="40"/>
    </row>
    <row r="25" spans="1:24">
      <c r="A25" s="99" t="s">
        <v>35</v>
      </c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1"/>
      <c r="M25" s="1"/>
      <c r="N25" s="37"/>
      <c r="O25" s="40"/>
      <c r="P25" s="40"/>
      <c r="Q25" s="40"/>
      <c r="R25" s="40"/>
      <c r="S25" s="1"/>
      <c r="T25" s="37"/>
      <c r="U25" s="40"/>
      <c r="V25" s="40"/>
      <c r="W25" s="40"/>
      <c r="X25" s="40"/>
    </row>
    <row r="26" spans="1:24">
      <c r="A26" s="65" t="s">
        <v>266</v>
      </c>
      <c r="B26" s="4" t="s">
        <v>265</v>
      </c>
      <c r="C26" s="15">
        <v>75</v>
      </c>
      <c r="D26" s="22">
        <v>75</v>
      </c>
      <c r="E26" s="13">
        <f>C26*4.4/75</f>
        <v>4.4000000000000004</v>
      </c>
      <c r="F26" s="17">
        <f>D26*4.4/75</f>
        <v>4.4000000000000004</v>
      </c>
      <c r="G26" s="13">
        <f>C26*9.6/75</f>
        <v>9.6</v>
      </c>
      <c r="H26" s="17">
        <f>D26*9.6/75</f>
        <v>9.6</v>
      </c>
      <c r="I26" s="13">
        <f>C26*17/75</f>
        <v>17</v>
      </c>
      <c r="J26" s="17">
        <f>D26*17/75</f>
        <v>17</v>
      </c>
      <c r="K26" s="13">
        <f t="shared" ref="K26:L27" si="6">E26*4+G26*9+I26*4</f>
        <v>172</v>
      </c>
      <c r="L26" s="17">
        <f t="shared" si="6"/>
        <v>172</v>
      </c>
      <c r="M26" s="1"/>
      <c r="N26" s="37"/>
      <c r="O26" s="40"/>
      <c r="P26" s="40"/>
      <c r="Q26" s="40"/>
      <c r="R26" s="40"/>
      <c r="S26" s="1"/>
      <c r="T26" s="37"/>
      <c r="U26" s="40"/>
      <c r="V26" s="40"/>
      <c r="W26" s="40"/>
      <c r="X26" s="40"/>
    </row>
    <row r="27" spans="1:24">
      <c r="A27" s="47" t="s">
        <v>140</v>
      </c>
      <c r="B27" s="2" t="s">
        <v>141</v>
      </c>
      <c r="C27" s="15">
        <v>200</v>
      </c>
      <c r="D27" s="18">
        <v>200</v>
      </c>
      <c r="E27" s="13">
        <f>C27*0.06/180</f>
        <v>6.6666666666666666E-2</v>
      </c>
      <c r="F27" s="17">
        <f>D27*0.06/180</f>
        <v>6.6666666666666666E-2</v>
      </c>
      <c r="G27" s="13">
        <f>C27*0/50</f>
        <v>0</v>
      </c>
      <c r="H27" s="17">
        <f>D27*0/50</f>
        <v>0</v>
      </c>
      <c r="I27" s="13">
        <f>C27*9.99/180</f>
        <v>11.1</v>
      </c>
      <c r="J27" s="17">
        <f>D27*9.99/180</f>
        <v>11.1</v>
      </c>
      <c r="K27" s="13">
        <f t="shared" si="6"/>
        <v>44.666666666666664</v>
      </c>
      <c r="L27" s="17">
        <f t="shared" si="6"/>
        <v>44.666666666666664</v>
      </c>
      <c r="M27" s="1"/>
      <c r="N27" s="37"/>
      <c r="O27" s="40"/>
      <c r="P27" s="40"/>
      <c r="Q27" s="40"/>
      <c r="R27" s="40"/>
      <c r="S27" s="1"/>
      <c r="T27" s="37"/>
      <c r="U27" s="40"/>
      <c r="V27" s="40"/>
      <c r="W27" s="40"/>
      <c r="X27" s="40"/>
    </row>
    <row r="28" spans="1:24">
      <c r="A28" s="65"/>
      <c r="B28" s="7" t="s">
        <v>18</v>
      </c>
      <c r="C28" s="62">
        <f t="shared" ref="C28:L28" si="7">SUM(C26:C27)</f>
        <v>275</v>
      </c>
      <c r="D28" s="11">
        <f t="shared" si="7"/>
        <v>275</v>
      </c>
      <c r="E28" s="10">
        <f t="shared" si="7"/>
        <v>4.4666666666666668</v>
      </c>
      <c r="F28" s="16">
        <f t="shared" si="7"/>
        <v>4.4666666666666668</v>
      </c>
      <c r="G28" s="10">
        <f t="shared" si="7"/>
        <v>9.6</v>
      </c>
      <c r="H28" s="11">
        <f t="shared" si="7"/>
        <v>9.6</v>
      </c>
      <c r="I28" s="62">
        <f t="shared" si="7"/>
        <v>28.1</v>
      </c>
      <c r="J28" s="11">
        <f t="shared" si="7"/>
        <v>28.1</v>
      </c>
      <c r="K28" s="10">
        <f t="shared" si="7"/>
        <v>216.66666666666666</v>
      </c>
      <c r="L28" s="16">
        <f t="shared" si="7"/>
        <v>216.66666666666666</v>
      </c>
      <c r="M28" s="36"/>
      <c r="N28" s="49"/>
      <c r="O28" s="40"/>
      <c r="P28" s="40"/>
      <c r="Q28" s="40"/>
      <c r="R28" s="40"/>
      <c r="S28" s="36"/>
      <c r="T28" s="37"/>
      <c r="U28" s="40"/>
      <c r="V28" s="40"/>
      <c r="W28" s="40"/>
      <c r="X28" s="40"/>
    </row>
    <row r="29" spans="1:24">
      <c r="A29" s="99"/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1"/>
      <c r="N29" s="50"/>
      <c r="T29" s="51"/>
    </row>
    <row r="30" spans="1:24">
      <c r="A30" s="26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N30" s="44"/>
      <c r="T30" s="40"/>
    </row>
    <row r="31" spans="1:24">
      <c r="A31" s="26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N31" s="44"/>
      <c r="T31" s="40"/>
    </row>
    <row r="32" spans="1:24">
      <c r="A32" s="26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N32" s="45"/>
      <c r="T32" s="46"/>
    </row>
    <row r="33" spans="1:20">
      <c r="A33" s="26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N33" s="1"/>
      <c r="T33" s="1"/>
    </row>
    <row r="34" spans="1:20">
      <c r="A34" s="26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T34" s="1"/>
    </row>
    <row r="35" spans="1:20">
      <c r="A35" s="26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</row>
    <row r="36" spans="1:20">
      <c r="A36" s="26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</row>
    <row r="37" spans="1:20">
      <c r="A37" s="26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</row>
    <row r="38" spans="1:20">
      <c r="A38" s="36"/>
      <c r="B38" s="36"/>
      <c r="C38" s="36"/>
      <c r="D38" s="32"/>
      <c r="E38" s="32"/>
      <c r="F38" s="32"/>
      <c r="G38" s="32"/>
      <c r="H38" s="32"/>
      <c r="I38" s="32"/>
      <c r="J38" s="32"/>
      <c r="K38" s="32"/>
      <c r="L38" s="32"/>
    </row>
    <row r="39" spans="1:20">
      <c r="A39" s="1"/>
      <c r="B39" s="1"/>
      <c r="C39" s="37"/>
      <c r="D39" s="26"/>
      <c r="E39" s="26"/>
      <c r="F39" s="26"/>
      <c r="G39" s="26"/>
      <c r="H39" s="26"/>
      <c r="I39" s="26"/>
      <c r="J39" s="26"/>
      <c r="K39" s="26"/>
      <c r="L39" s="26"/>
      <c r="M39" s="1"/>
    </row>
    <row r="40" spans="1:20">
      <c r="A40" s="1"/>
      <c r="B40" s="1"/>
      <c r="C40" s="37"/>
      <c r="D40" s="26"/>
      <c r="E40" s="26"/>
      <c r="F40" s="26"/>
      <c r="G40" s="26"/>
      <c r="H40" s="26"/>
      <c r="I40" s="26"/>
      <c r="J40" s="26"/>
      <c r="K40" s="26"/>
      <c r="L40" s="26"/>
      <c r="M40" s="1"/>
    </row>
    <row r="41" spans="1:20">
      <c r="A41" s="1"/>
      <c r="B41" s="1"/>
      <c r="C41" s="37"/>
      <c r="D41" s="26"/>
      <c r="E41" s="26"/>
      <c r="F41" s="26"/>
      <c r="G41" s="26"/>
      <c r="H41" s="26"/>
      <c r="I41" s="26"/>
      <c r="J41" s="26"/>
      <c r="K41" s="26"/>
      <c r="L41" s="26"/>
      <c r="M41" s="1"/>
    </row>
    <row r="42" spans="1:20">
      <c r="A42" s="1"/>
      <c r="B42" s="1"/>
      <c r="C42" s="37"/>
      <c r="D42" s="26"/>
      <c r="E42" s="26"/>
      <c r="F42" s="26"/>
      <c r="G42" s="26"/>
      <c r="H42" s="26"/>
      <c r="I42" s="26"/>
      <c r="J42" s="26"/>
      <c r="K42" s="26"/>
      <c r="L42" s="26"/>
      <c r="M42" s="1"/>
    </row>
    <row r="43" spans="1:20">
      <c r="A43" s="1"/>
      <c r="B43" s="1"/>
      <c r="C43" s="37"/>
      <c r="D43" s="1"/>
      <c r="I43" s="8"/>
      <c r="J43" s="8"/>
      <c r="K43" s="8"/>
      <c r="L43" s="8"/>
    </row>
    <row r="44" spans="1:20">
      <c r="A44" s="1"/>
      <c r="B44" s="1"/>
      <c r="C44" s="37"/>
      <c r="D44" s="1"/>
    </row>
    <row r="45" spans="1:20">
      <c r="A45" s="1"/>
      <c r="B45" s="1"/>
      <c r="C45" s="37"/>
      <c r="D45" s="1"/>
    </row>
    <row r="46" spans="1:20">
      <c r="A46" s="1"/>
      <c r="B46" s="1"/>
      <c r="C46" s="37"/>
      <c r="D46" s="1"/>
    </row>
    <row r="47" spans="1:20">
      <c r="A47" s="1"/>
      <c r="B47" s="1"/>
      <c r="C47" s="37"/>
      <c r="D47" s="1"/>
    </row>
    <row r="48" spans="1:20">
      <c r="A48" s="1"/>
      <c r="B48" s="1"/>
      <c r="C48" s="37"/>
      <c r="D48" s="1"/>
    </row>
    <row r="49" spans="1:4">
      <c r="A49" s="1"/>
      <c r="B49" s="1"/>
      <c r="C49" s="37"/>
      <c r="D49" s="1"/>
    </row>
    <row r="50" spans="1:4">
      <c r="A50" s="1"/>
      <c r="B50" s="1"/>
      <c r="C50" s="37"/>
      <c r="D50" s="1"/>
    </row>
    <row r="51" spans="1:4">
      <c r="A51" s="1"/>
      <c r="B51" s="1"/>
      <c r="C51" s="37"/>
      <c r="D51" s="1"/>
    </row>
    <row r="52" spans="1:4">
      <c r="A52" s="1"/>
      <c r="B52" s="1"/>
      <c r="C52" s="37"/>
      <c r="D52" s="1"/>
    </row>
    <row r="53" spans="1:4">
      <c r="A53" s="1"/>
      <c r="B53" s="1"/>
      <c r="C53" s="37"/>
      <c r="D53" s="1"/>
    </row>
    <row r="54" spans="1:4">
      <c r="A54" s="1"/>
      <c r="B54" s="1"/>
      <c r="C54" s="37"/>
      <c r="D54" s="1"/>
    </row>
    <row r="55" spans="1:4">
      <c r="A55" s="1"/>
      <c r="B55" s="1"/>
      <c r="C55" s="37"/>
      <c r="D55" s="1"/>
    </row>
    <row r="56" spans="1:4">
      <c r="A56" s="1"/>
      <c r="B56" s="1"/>
      <c r="C56" s="37"/>
      <c r="D56" s="1"/>
    </row>
    <row r="57" spans="1:4">
      <c r="A57" s="1"/>
      <c r="B57" s="1"/>
      <c r="C57" s="37"/>
      <c r="D57" s="1"/>
    </row>
    <row r="58" spans="1:4">
      <c r="A58" s="1"/>
      <c r="B58" s="1"/>
      <c r="C58" s="37"/>
      <c r="D58" s="1"/>
    </row>
    <row r="59" spans="1:4">
      <c r="A59" s="1"/>
      <c r="B59" s="1"/>
      <c r="C59" s="37"/>
      <c r="D59" s="1"/>
    </row>
    <row r="60" spans="1:4">
      <c r="A60" s="1"/>
      <c r="B60" s="1"/>
      <c r="C60" s="37"/>
      <c r="D60" s="1"/>
    </row>
    <row r="61" spans="1:4">
      <c r="A61" s="1"/>
      <c r="B61" s="1"/>
      <c r="C61" s="37"/>
      <c r="D61" s="1"/>
    </row>
    <row r="62" spans="1:4">
      <c r="A62" s="1"/>
      <c r="B62" s="1"/>
      <c r="C62" s="37"/>
      <c r="D62" s="1"/>
    </row>
    <row r="63" spans="1:4">
      <c r="A63" s="1"/>
      <c r="B63" s="1"/>
      <c r="C63" s="37"/>
      <c r="D63" s="1"/>
    </row>
    <row r="64" spans="1:4">
      <c r="A64" s="1"/>
      <c r="B64" s="1"/>
      <c r="C64" s="37"/>
      <c r="D64" s="1"/>
    </row>
    <row r="65" spans="1:3">
      <c r="A65" s="1"/>
      <c r="B65" s="1"/>
      <c r="C65" s="1"/>
    </row>
    <row r="66" spans="1:3">
      <c r="A66" s="1"/>
      <c r="B66" s="1"/>
      <c r="C66" s="1"/>
    </row>
    <row r="67" spans="1:3">
      <c r="A67" s="1"/>
      <c r="B67" s="1"/>
      <c r="C67" s="1"/>
    </row>
    <row r="68" spans="1:3">
      <c r="A68" s="1"/>
      <c r="B68" s="1"/>
      <c r="C68" s="1"/>
    </row>
    <row r="69" spans="1:3">
      <c r="A69" s="1"/>
      <c r="B69" s="1"/>
      <c r="C69" s="1"/>
    </row>
  </sheetData>
  <mergeCells count="17">
    <mergeCell ref="A1:B1"/>
    <mergeCell ref="E1:H1"/>
    <mergeCell ref="A2:D2"/>
    <mergeCell ref="E2:H2"/>
    <mergeCell ref="A3:A5"/>
    <mergeCell ref="B3:B5"/>
    <mergeCell ref="C3:D4"/>
    <mergeCell ref="E3:J3"/>
    <mergeCell ref="A22:L22"/>
    <mergeCell ref="A25:L25"/>
    <mergeCell ref="A29:L29"/>
    <mergeCell ref="K3:L4"/>
    <mergeCell ref="E4:F4"/>
    <mergeCell ref="G4:H4"/>
    <mergeCell ref="I4:J4"/>
    <mergeCell ref="A6:L6"/>
    <mergeCell ref="A12:L12"/>
  </mergeCells>
  <pageMargins left="0.32291666666666669" right="0.7" top="0.29166666666666669" bottom="0.44791666666666669" header="0.3" footer="0.3"/>
  <pageSetup paperSize="9" orientation="landscape" horizontalDpi="180" verticalDpi="1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X68"/>
  <sheetViews>
    <sheetView zoomScaleNormal="100" workbookViewId="0">
      <selection activeCell="C16" sqref="C16"/>
    </sheetView>
  </sheetViews>
  <sheetFormatPr defaultRowHeight="15"/>
  <cols>
    <col min="1" max="1" width="10.5703125" customWidth="1"/>
    <col min="2" max="2" width="37" customWidth="1"/>
    <col min="3" max="3" width="7.28515625" customWidth="1"/>
    <col min="4" max="4" width="9" customWidth="1"/>
    <col min="5" max="5" width="6.7109375" customWidth="1"/>
    <col min="6" max="6" width="6.85546875" customWidth="1"/>
    <col min="7" max="7" width="6.42578125" customWidth="1"/>
    <col min="8" max="8" width="6.5703125" customWidth="1"/>
    <col min="9" max="9" width="7.5703125" customWidth="1"/>
    <col min="10" max="10" width="7.42578125" customWidth="1"/>
    <col min="11" max="11" width="9.7109375" customWidth="1"/>
    <col min="12" max="12" width="9.42578125" customWidth="1"/>
    <col min="13" max="13" width="9" customWidth="1"/>
    <col min="14" max="14" width="7.28515625" customWidth="1"/>
    <col min="17" max="17" width="9.140625" style="35"/>
    <col min="19" max="19" width="19.7109375" customWidth="1"/>
    <col min="20" max="20" width="7.7109375" customWidth="1"/>
    <col min="22" max="22" width="7.7109375" customWidth="1"/>
  </cols>
  <sheetData>
    <row r="1" spans="1:24" ht="15.75">
      <c r="A1" s="107" t="s">
        <v>122</v>
      </c>
      <c r="B1" s="107"/>
      <c r="C1" s="55"/>
      <c r="D1" s="55"/>
      <c r="E1" s="108" t="s">
        <v>237</v>
      </c>
      <c r="F1" s="108"/>
      <c r="G1" s="108"/>
      <c r="H1" s="108"/>
      <c r="I1" s="41"/>
      <c r="J1" s="41"/>
      <c r="K1" s="41"/>
      <c r="L1" s="4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5.75">
      <c r="A2" s="109" t="s">
        <v>123</v>
      </c>
      <c r="B2" s="109"/>
      <c r="C2" s="109"/>
      <c r="D2" s="109"/>
      <c r="E2" s="109" t="s">
        <v>229</v>
      </c>
      <c r="F2" s="109"/>
      <c r="G2" s="109"/>
      <c r="H2" s="109"/>
      <c r="I2" s="56"/>
      <c r="J2" s="56"/>
      <c r="K2" s="56"/>
      <c r="L2" s="56"/>
      <c r="M2" s="36"/>
      <c r="N2" s="36"/>
      <c r="O2" s="1"/>
      <c r="P2" s="1"/>
      <c r="Q2" s="1"/>
      <c r="R2" s="1"/>
      <c r="S2" s="36"/>
      <c r="T2" s="36"/>
      <c r="U2" s="1"/>
      <c r="V2" s="1"/>
      <c r="W2" s="1"/>
      <c r="X2" s="1"/>
    </row>
    <row r="3" spans="1:24" ht="15" customHeight="1">
      <c r="A3" s="110" t="s">
        <v>0</v>
      </c>
      <c r="B3" s="113" t="s">
        <v>1</v>
      </c>
      <c r="C3" s="116" t="s">
        <v>8</v>
      </c>
      <c r="D3" s="117"/>
      <c r="E3" s="103" t="s">
        <v>9</v>
      </c>
      <c r="F3" s="103"/>
      <c r="G3" s="103"/>
      <c r="H3" s="103"/>
      <c r="I3" s="103"/>
      <c r="J3" s="103"/>
      <c r="K3" s="102" t="s">
        <v>7</v>
      </c>
      <c r="L3" s="102"/>
      <c r="M3" s="1"/>
      <c r="N3" s="37"/>
      <c r="O3" s="40"/>
      <c r="P3" s="40"/>
      <c r="Q3" s="40"/>
      <c r="R3" s="40"/>
      <c r="S3" s="1"/>
      <c r="T3" s="37"/>
      <c r="U3" s="40"/>
      <c r="V3" s="40"/>
      <c r="W3" s="40"/>
      <c r="X3" s="40"/>
    </row>
    <row r="4" spans="1:24">
      <c r="A4" s="111"/>
      <c r="B4" s="114"/>
      <c r="C4" s="116"/>
      <c r="D4" s="117"/>
      <c r="E4" s="103" t="s">
        <v>5</v>
      </c>
      <c r="F4" s="103"/>
      <c r="G4" s="102" t="s">
        <v>4</v>
      </c>
      <c r="H4" s="102"/>
      <c r="I4" s="103" t="s">
        <v>6</v>
      </c>
      <c r="J4" s="103"/>
      <c r="K4" s="102"/>
      <c r="L4" s="102"/>
      <c r="M4" s="1"/>
      <c r="N4" s="37"/>
      <c r="O4" s="40"/>
      <c r="P4" s="40"/>
      <c r="Q4" s="40"/>
      <c r="R4" s="40"/>
      <c r="S4" s="1"/>
      <c r="T4" s="37"/>
      <c r="U4" s="40"/>
      <c r="V4" s="40"/>
      <c r="W4" s="40"/>
      <c r="X4" s="40"/>
    </row>
    <row r="5" spans="1:24" s="9" customFormat="1" ht="63">
      <c r="A5" s="112"/>
      <c r="B5" s="115"/>
      <c r="C5" s="75" t="s">
        <v>128</v>
      </c>
      <c r="D5" s="76" t="s">
        <v>127</v>
      </c>
      <c r="E5" s="75" t="s">
        <v>128</v>
      </c>
      <c r="F5" s="76" t="s">
        <v>127</v>
      </c>
      <c r="G5" s="75" t="s">
        <v>128</v>
      </c>
      <c r="H5" s="76" t="s">
        <v>127</v>
      </c>
      <c r="I5" s="75" t="s">
        <v>128</v>
      </c>
      <c r="J5" s="76" t="s">
        <v>127</v>
      </c>
      <c r="K5" s="75" t="s">
        <v>128</v>
      </c>
      <c r="L5" s="77" t="s">
        <v>127</v>
      </c>
      <c r="M5" s="1"/>
      <c r="N5" s="37"/>
      <c r="O5" s="40"/>
      <c r="P5" s="40"/>
      <c r="Q5" s="40"/>
      <c r="R5" s="40"/>
      <c r="S5" s="1"/>
      <c r="T5" s="37"/>
      <c r="U5" s="40"/>
      <c r="V5" s="40"/>
      <c r="W5" s="40"/>
      <c r="X5" s="40"/>
    </row>
    <row r="6" spans="1:24">
      <c r="A6" s="99" t="s">
        <v>10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1"/>
      <c r="M6" s="1"/>
      <c r="N6" s="37"/>
      <c r="O6" s="40"/>
      <c r="P6" s="40"/>
      <c r="Q6" s="40"/>
      <c r="R6" s="40"/>
      <c r="S6" s="1"/>
      <c r="T6" s="37"/>
      <c r="U6" s="40"/>
      <c r="V6" s="40"/>
      <c r="W6" s="40"/>
      <c r="X6" s="40"/>
    </row>
    <row r="7" spans="1:24">
      <c r="A7" s="47" t="s">
        <v>267</v>
      </c>
      <c r="B7" s="74" t="s">
        <v>268</v>
      </c>
      <c r="C7" s="15">
        <v>150</v>
      </c>
      <c r="D7" s="20">
        <v>200</v>
      </c>
      <c r="E7" s="13">
        <f>C7*3.1/100</f>
        <v>4.6500000000000004</v>
      </c>
      <c r="F7" s="17">
        <f>D7*3.1/100</f>
        <v>6.2</v>
      </c>
      <c r="G7" s="13">
        <f>C7*4.8/100</f>
        <v>7.2</v>
      </c>
      <c r="H7" s="17">
        <f>D7*4.8/100</f>
        <v>9.6</v>
      </c>
      <c r="I7" s="13">
        <f>C7*13.3/100</f>
        <v>19.95</v>
      </c>
      <c r="J7" s="17">
        <f>D7*13.3/100</f>
        <v>26.6</v>
      </c>
      <c r="K7" s="13">
        <f t="shared" ref="K7:L7" si="0">E7*4+G7*9+I7*4</f>
        <v>163.19999999999999</v>
      </c>
      <c r="L7" s="17">
        <f t="shared" si="0"/>
        <v>217.6</v>
      </c>
      <c r="M7" s="1"/>
      <c r="N7" s="37"/>
      <c r="O7" s="40"/>
      <c r="P7" s="40"/>
      <c r="Q7" s="40"/>
      <c r="R7" s="40"/>
      <c r="S7" s="1"/>
      <c r="T7" s="37"/>
      <c r="U7" s="40"/>
      <c r="V7" s="40"/>
      <c r="W7" s="40"/>
      <c r="X7" s="40"/>
    </row>
    <row r="8" spans="1:24">
      <c r="A8" s="65"/>
      <c r="B8" s="2" t="s">
        <v>2</v>
      </c>
      <c r="C8" s="14">
        <v>30</v>
      </c>
      <c r="D8" s="21">
        <v>40</v>
      </c>
      <c r="E8" s="14">
        <f>C8*7.5/100</f>
        <v>2.25</v>
      </c>
      <c r="F8" s="27">
        <f>D8*7.5/100</f>
        <v>3</v>
      </c>
      <c r="G8" s="13">
        <f>C8*2.9/100</f>
        <v>0.87</v>
      </c>
      <c r="H8" s="18">
        <f>D8*2.9/100</f>
        <v>1.1599999999999999</v>
      </c>
      <c r="I8" s="15">
        <f>C8*51.4/100</f>
        <v>15.42</v>
      </c>
      <c r="J8" s="18">
        <f>D8*51.4/100</f>
        <v>20.56</v>
      </c>
      <c r="K8" s="15">
        <f t="shared" ref="K8:L10" si="1">E8*4+G8*9+I8*4</f>
        <v>78.509999999999991</v>
      </c>
      <c r="L8" s="18">
        <f t="shared" si="1"/>
        <v>104.67999999999999</v>
      </c>
      <c r="M8" s="1"/>
      <c r="N8" s="37"/>
      <c r="O8" s="40"/>
      <c r="P8" s="40"/>
      <c r="Q8" s="40"/>
      <c r="R8" s="40"/>
      <c r="S8" s="1"/>
      <c r="T8" s="37"/>
      <c r="U8" s="40"/>
      <c r="V8" s="40"/>
      <c r="W8" s="40"/>
      <c r="X8" s="40"/>
    </row>
    <row r="9" spans="1:24" s="73" customFormat="1">
      <c r="A9" s="81" t="s">
        <v>156</v>
      </c>
      <c r="B9" s="4" t="s">
        <v>155</v>
      </c>
      <c r="C9" s="15">
        <v>10</v>
      </c>
      <c r="D9" s="22">
        <v>10</v>
      </c>
      <c r="E9" s="15">
        <f>C9*2.32/10</f>
        <v>2.3199999999999998</v>
      </c>
      <c r="F9" s="18">
        <f>D9*2.31/10</f>
        <v>2.31</v>
      </c>
      <c r="G9" s="13">
        <f>C9*2.96/10</f>
        <v>2.96</v>
      </c>
      <c r="H9" s="17">
        <f>D9*2.96/10</f>
        <v>2.96</v>
      </c>
      <c r="I9" s="24">
        <f>C9*0/10</f>
        <v>0</v>
      </c>
      <c r="J9" s="19">
        <f>D9*0/10</f>
        <v>0</v>
      </c>
      <c r="K9" s="13">
        <f t="shared" si="1"/>
        <v>35.92</v>
      </c>
      <c r="L9" s="17">
        <f t="shared" si="1"/>
        <v>35.880000000000003</v>
      </c>
      <c r="M9" s="1"/>
      <c r="N9" s="37"/>
      <c r="O9" s="40"/>
      <c r="P9" s="40"/>
      <c r="Q9" s="40"/>
      <c r="R9" s="40"/>
      <c r="S9" s="1"/>
      <c r="T9" s="37"/>
      <c r="U9" s="40"/>
      <c r="V9" s="40"/>
      <c r="W9" s="40"/>
      <c r="X9" s="40"/>
    </row>
    <row r="10" spans="1:24">
      <c r="A10" s="47" t="s">
        <v>140</v>
      </c>
      <c r="B10" s="2" t="s">
        <v>141</v>
      </c>
      <c r="C10" s="15">
        <v>200</v>
      </c>
      <c r="D10" s="18">
        <v>200</v>
      </c>
      <c r="E10" s="13">
        <f>C10*0.06/180</f>
        <v>6.6666666666666666E-2</v>
      </c>
      <c r="F10" s="17">
        <f>D10*0.06/180</f>
        <v>6.6666666666666666E-2</v>
      </c>
      <c r="G10" s="13">
        <f>C10*0/50</f>
        <v>0</v>
      </c>
      <c r="H10" s="17">
        <f>D10*0/50</f>
        <v>0</v>
      </c>
      <c r="I10" s="13">
        <f>C10*9.99/180</f>
        <v>11.1</v>
      </c>
      <c r="J10" s="17">
        <f>D10*9.99/180</f>
        <v>11.1</v>
      </c>
      <c r="K10" s="13">
        <f t="shared" si="1"/>
        <v>44.666666666666664</v>
      </c>
      <c r="L10" s="17">
        <f t="shared" si="1"/>
        <v>44.666666666666664</v>
      </c>
      <c r="M10" s="1"/>
      <c r="N10" s="37"/>
      <c r="O10" s="40"/>
      <c r="P10" s="40"/>
      <c r="Q10" s="40"/>
      <c r="R10" s="40"/>
      <c r="S10" s="1"/>
      <c r="T10" s="37"/>
      <c r="U10" s="40"/>
      <c r="V10" s="40"/>
      <c r="W10" s="40"/>
      <c r="X10" s="40"/>
    </row>
    <row r="11" spans="1:24">
      <c r="A11" s="6"/>
      <c r="B11" s="7" t="s">
        <v>19</v>
      </c>
      <c r="C11" s="48">
        <f t="shared" ref="C11:J11" si="2">SUM(C7:C10)</f>
        <v>390</v>
      </c>
      <c r="D11" s="23">
        <f t="shared" si="2"/>
        <v>450</v>
      </c>
      <c r="E11" s="10">
        <f t="shared" si="2"/>
        <v>9.2866666666666671</v>
      </c>
      <c r="F11" s="16">
        <f t="shared" si="2"/>
        <v>11.576666666666666</v>
      </c>
      <c r="G11" s="10">
        <f t="shared" si="2"/>
        <v>11.030000000000001</v>
      </c>
      <c r="H11" s="16">
        <f t="shared" si="2"/>
        <v>13.719999999999999</v>
      </c>
      <c r="I11" s="10">
        <f t="shared" si="2"/>
        <v>46.47</v>
      </c>
      <c r="J11" s="16">
        <f t="shared" si="2"/>
        <v>58.26</v>
      </c>
      <c r="K11" s="10">
        <f t="shared" ref="K11:L11" si="3">E11*4+G11*9+I11*4</f>
        <v>322.29666666666668</v>
      </c>
      <c r="L11" s="16">
        <f t="shared" si="3"/>
        <v>402.82666666666665</v>
      </c>
      <c r="M11" s="1"/>
      <c r="N11" s="37"/>
      <c r="O11" s="40"/>
      <c r="P11" s="40"/>
      <c r="Q11" s="40"/>
      <c r="R11" s="40"/>
      <c r="S11" s="1"/>
      <c r="T11" s="37"/>
      <c r="U11" s="40"/>
      <c r="V11" s="40"/>
      <c r="W11" s="40"/>
      <c r="X11" s="40"/>
    </row>
    <row r="12" spans="1:24">
      <c r="A12" s="104" t="s">
        <v>11</v>
      </c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06"/>
      <c r="M12" s="1"/>
      <c r="N12" s="37"/>
      <c r="O12" s="40"/>
      <c r="P12" s="40"/>
      <c r="Q12" s="40"/>
      <c r="R12" s="40"/>
      <c r="S12" s="1"/>
      <c r="T12" s="37"/>
      <c r="U12" s="40"/>
      <c r="V12" s="40"/>
      <c r="W12" s="40"/>
      <c r="X12" s="40"/>
    </row>
    <row r="13" spans="1:24">
      <c r="A13" s="47" t="s">
        <v>226</v>
      </c>
      <c r="B13" s="2" t="s">
        <v>225</v>
      </c>
      <c r="C13" s="15">
        <v>60</v>
      </c>
      <c r="D13" s="25">
        <v>100</v>
      </c>
      <c r="E13" s="13">
        <f>C13*1.6/100</f>
        <v>0.96</v>
      </c>
      <c r="F13" s="17">
        <f>D13*1.6/100</f>
        <v>1.6</v>
      </c>
      <c r="G13" s="13">
        <f>C13*4.99/100</f>
        <v>2.9940000000000002</v>
      </c>
      <c r="H13" s="17">
        <f>D13*4.99/100</f>
        <v>4.99</v>
      </c>
      <c r="I13" s="13">
        <f>C13*9.24/100</f>
        <v>5.5439999999999996</v>
      </c>
      <c r="J13" s="17">
        <f>D13*9.24/100</f>
        <v>9.24</v>
      </c>
      <c r="K13" s="83">
        <f t="shared" ref="K13:L14" si="4">E13*4+G13*9+I13*4</f>
        <v>52.962000000000003</v>
      </c>
      <c r="L13" s="84">
        <f t="shared" si="4"/>
        <v>88.27000000000001</v>
      </c>
      <c r="M13" s="1"/>
      <c r="N13" s="37"/>
      <c r="O13" s="40"/>
      <c r="P13" s="40"/>
      <c r="Q13" s="40"/>
      <c r="R13" s="40"/>
      <c r="S13" s="1"/>
      <c r="T13" s="37"/>
      <c r="U13" s="40"/>
      <c r="V13" s="40"/>
      <c r="W13" s="40"/>
      <c r="X13" s="40"/>
    </row>
    <row r="14" spans="1:24">
      <c r="A14" s="47" t="s">
        <v>207</v>
      </c>
      <c r="B14" s="2" t="s">
        <v>208</v>
      </c>
      <c r="C14" s="14">
        <v>200</v>
      </c>
      <c r="D14" s="54">
        <v>250</v>
      </c>
      <c r="E14" s="83">
        <f>C14*13.5/250</f>
        <v>10.8</v>
      </c>
      <c r="F14" s="84">
        <f>D14*13.5/250</f>
        <v>13.5</v>
      </c>
      <c r="G14" s="83">
        <f>C14*3.6/250</f>
        <v>2.88</v>
      </c>
      <c r="H14" s="84">
        <f>D14*3.6/250</f>
        <v>3.6</v>
      </c>
      <c r="I14" s="83">
        <f>C14*12.5/250</f>
        <v>10</v>
      </c>
      <c r="J14" s="84">
        <f>D14*12.5/250</f>
        <v>12.5</v>
      </c>
      <c r="K14" s="83">
        <f t="shared" si="4"/>
        <v>109.12</v>
      </c>
      <c r="L14" s="84">
        <f t="shared" si="4"/>
        <v>136.4</v>
      </c>
      <c r="M14" s="1"/>
      <c r="N14" s="37"/>
      <c r="O14" s="40"/>
      <c r="P14" s="40"/>
      <c r="Q14" s="40"/>
      <c r="R14" s="40"/>
      <c r="S14" s="1"/>
      <c r="T14" s="37"/>
      <c r="U14" s="40"/>
      <c r="V14" s="40"/>
      <c r="W14" s="40"/>
      <c r="X14" s="40"/>
    </row>
    <row r="15" spans="1:24">
      <c r="A15" s="65" t="s">
        <v>270</v>
      </c>
      <c r="B15" s="42" t="s">
        <v>29</v>
      </c>
      <c r="C15" s="15">
        <v>240</v>
      </c>
      <c r="D15" s="18">
        <v>250</v>
      </c>
      <c r="E15" s="13">
        <f>C15*21.71/220</f>
        <v>23.683636363636367</v>
      </c>
      <c r="F15" s="17">
        <f>D15*21.71/220</f>
        <v>24.670454545454547</v>
      </c>
      <c r="G15" s="13">
        <f>C15*16.55/220</f>
        <v>18.054545454545455</v>
      </c>
      <c r="H15" s="17">
        <f>D15*16.55/220</f>
        <v>18.806818181818183</v>
      </c>
      <c r="I15" s="13">
        <f>C15*15.02/220</f>
        <v>16.385454545454543</v>
      </c>
      <c r="J15" s="17">
        <f>D15*15.02/220</f>
        <v>17.068181818181817</v>
      </c>
      <c r="K15" s="13">
        <f t="shared" ref="K15:L19" si="5">E15*4+G15*9+I15*4</f>
        <v>322.76727272727271</v>
      </c>
      <c r="L15" s="17">
        <f t="shared" si="5"/>
        <v>336.21590909090912</v>
      </c>
      <c r="M15" s="1"/>
      <c r="N15" s="37"/>
      <c r="O15" s="40"/>
      <c r="P15" s="40"/>
      <c r="Q15" s="40"/>
      <c r="R15" s="40"/>
      <c r="S15" s="1"/>
      <c r="T15" s="37"/>
      <c r="U15" s="40"/>
      <c r="V15" s="40"/>
      <c r="W15" s="40"/>
      <c r="X15" s="40"/>
    </row>
    <row r="16" spans="1:24">
      <c r="A16" s="47" t="s">
        <v>186</v>
      </c>
      <c r="B16" s="2" t="s">
        <v>185</v>
      </c>
      <c r="C16" s="15">
        <v>200</v>
      </c>
      <c r="D16" s="18">
        <v>200</v>
      </c>
      <c r="E16" s="13">
        <f>C16*0.06/200</f>
        <v>0.06</v>
      </c>
      <c r="F16" s="17">
        <f>D16*0.06/200</f>
        <v>0.06</v>
      </c>
      <c r="G16" s="13">
        <f>C16*0/50</f>
        <v>0</v>
      </c>
      <c r="H16" s="17">
        <f>D16*0/50</f>
        <v>0</v>
      </c>
      <c r="I16" s="13">
        <f>C16*31.4/200</f>
        <v>31.4</v>
      </c>
      <c r="J16" s="17">
        <f>D16*31.4/200</f>
        <v>31.4</v>
      </c>
      <c r="K16" s="13">
        <f t="shared" ref="K16:L16" si="6">E16*4+G16*9+I16*4</f>
        <v>125.83999999999999</v>
      </c>
      <c r="L16" s="17">
        <f t="shared" si="6"/>
        <v>125.83999999999999</v>
      </c>
      <c r="M16" s="1"/>
      <c r="N16" s="37"/>
      <c r="O16" s="40"/>
      <c r="P16" s="40"/>
      <c r="Q16" s="40"/>
      <c r="R16" s="40"/>
      <c r="S16" s="1"/>
      <c r="T16" s="37"/>
      <c r="U16" s="40"/>
      <c r="V16" s="40"/>
      <c r="W16" s="40"/>
      <c r="X16" s="40"/>
    </row>
    <row r="17" spans="1:24">
      <c r="A17" s="3"/>
      <c r="B17" s="5" t="s">
        <v>217</v>
      </c>
      <c r="C17" s="15">
        <v>30</v>
      </c>
      <c r="D17" s="18">
        <v>40</v>
      </c>
      <c r="E17" s="13">
        <f>C17*6.6/100</f>
        <v>1.98</v>
      </c>
      <c r="F17" s="17">
        <f>D17*6.6/100</f>
        <v>2.64</v>
      </c>
      <c r="G17" s="13">
        <f>C17*1.1/100</f>
        <v>0.33</v>
      </c>
      <c r="H17" s="17">
        <f>D17*1.1/100</f>
        <v>0.44</v>
      </c>
      <c r="I17" s="13">
        <f>C17*43.9/100</f>
        <v>13.17</v>
      </c>
      <c r="J17" s="17">
        <f>D17*43.9/100</f>
        <v>17.559999999999999</v>
      </c>
      <c r="K17" s="13">
        <f t="shared" si="5"/>
        <v>63.57</v>
      </c>
      <c r="L17" s="17">
        <f t="shared" si="5"/>
        <v>84.759999999999991</v>
      </c>
      <c r="M17" s="1"/>
      <c r="N17" s="37"/>
      <c r="O17" s="40"/>
      <c r="P17" s="40"/>
      <c r="Q17" s="40"/>
      <c r="R17" s="40"/>
      <c r="S17" s="1"/>
      <c r="T17" s="37"/>
      <c r="U17" s="40"/>
      <c r="V17" s="40"/>
      <c r="W17" s="40"/>
      <c r="X17" s="40"/>
    </row>
    <row r="18" spans="1:24" s="73" customFormat="1">
      <c r="A18" s="65"/>
      <c r="B18" s="5" t="s">
        <v>216</v>
      </c>
      <c r="C18" s="15">
        <v>30</v>
      </c>
      <c r="D18" s="18">
        <v>40</v>
      </c>
      <c r="E18" s="13">
        <f>C18*7.7/100</f>
        <v>2.31</v>
      </c>
      <c r="F18" s="17">
        <f>D18*7.7/100</f>
        <v>3.08</v>
      </c>
      <c r="G18" s="13">
        <f>C18*0.8/100</f>
        <v>0.24</v>
      </c>
      <c r="H18" s="17">
        <f>D18*0.8/100</f>
        <v>0.32</v>
      </c>
      <c r="I18" s="13">
        <f>C18*49.5/100</f>
        <v>14.85</v>
      </c>
      <c r="J18" s="17">
        <f>D18*49.5/100</f>
        <v>19.8</v>
      </c>
      <c r="K18" s="13">
        <f t="shared" si="5"/>
        <v>70.8</v>
      </c>
      <c r="L18" s="17">
        <f t="shared" si="5"/>
        <v>94.4</v>
      </c>
      <c r="M18" s="1"/>
      <c r="N18" s="37"/>
      <c r="O18" s="40"/>
      <c r="P18" s="40"/>
      <c r="Q18" s="40"/>
      <c r="R18" s="40"/>
      <c r="S18" s="1"/>
      <c r="T18" s="37"/>
      <c r="U18" s="40"/>
      <c r="V18" s="40"/>
      <c r="W18" s="40"/>
      <c r="X18" s="40"/>
    </row>
    <row r="19" spans="1:24" s="73" customFormat="1">
      <c r="A19" s="65"/>
      <c r="B19" s="5" t="s">
        <v>248</v>
      </c>
      <c r="C19" s="15">
        <v>100</v>
      </c>
      <c r="D19" s="18">
        <v>100</v>
      </c>
      <c r="E19" s="13">
        <v>0.4</v>
      </c>
      <c r="F19" s="17">
        <v>0.4</v>
      </c>
      <c r="G19" s="13">
        <v>0.4</v>
      </c>
      <c r="H19" s="17">
        <v>0.4</v>
      </c>
      <c r="I19" s="13">
        <v>9.8000000000000007</v>
      </c>
      <c r="J19" s="17">
        <v>9.8000000000000007</v>
      </c>
      <c r="K19" s="13">
        <f t="shared" si="5"/>
        <v>44.400000000000006</v>
      </c>
      <c r="L19" s="17">
        <f t="shared" si="5"/>
        <v>44.400000000000006</v>
      </c>
      <c r="M19" s="1"/>
      <c r="N19" s="37"/>
      <c r="O19" s="40"/>
      <c r="P19" s="40"/>
      <c r="Q19" s="40"/>
      <c r="R19" s="40"/>
      <c r="S19" s="1"/>
      <c r="T19" s="37"/>
      <c r="U19" s="40"/>
      <c r="V19" s="40"/>
      <c r="W19" s="40"/>
      <c r="X19" s="40"/>
    </row>
    <row r="20" spans="1:24">
      <c r="A20" s="3"/>
      <c r="B20" s="7" t="s">
        <v>20</v>
      </c>
      <c r="C20" s="48">
        <f t="shared" ref="C20:L20" si="7">SUM(C13:C19)</f>
        <v>860</v>
      </c>
      <c r="D20" s="28">
        <f t="shared" si="7"/>
        <v>980</v>
      </c>
      <c r="E20" s="10">
        <f t="shared" si="7"/>
        <v>40.193636363636372</v>
      </c>
      <c r="F20" s="16">
        <f t="shared" si="7"/>
        <v>45.950454545454548</v>
      </c>
      <c r="G20" s="62">
        <f t="shared" si="7"/>
        <v>24.898545454545452</v>
      </c>
      <c r="H20" s="16">
        <f t="shared" si="7"/>
        <v>28.556818181818183</v>
      </c>
      <c r="I20" s="62">
        <f t="shared" si="7"/>
        <v>101.14945454545453</v>
      </c>
      <c r="J20" s="16">
        <f t="shared" si="7"/>
        <v>117.36818181818182</v>
      </c>
      <c r="K20" s="10">
        <f t="shared" si="7"/>
        <v>789.45927272727272</v>
      </c>
      <c r="L20" s="16">
        <f t="shared" si="7"/>
        <v>910.28590909090906</v>
      </c>
      <c r="M20" s="1"/>
      <c r="N20" s="37"/>
      <c r="O20" s="40"/>
      <c r="P20" s="40"/>
      <c r="Q20" s="40"/>
      <c r="R20" s="40"/>
      <c r="S20" s="1"/>
      <c r="T20" s="37"/>
      <c r="U20" s="40"/>
      <c r="V20" s="40"/>
      <c r="W20" s="40"/>
      <c r="X20" s="40"/>
    </row>
    <row r="21" spans="1:24">
      <c r="A21" s="99"/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1"/>
      <c r="M21" s="1"/>
      <c r="N21" s="37"/>
      <c r="O21" s="40"/>
      <c r="P21" s="40"/>
      <c r="Q21" s="40"/>
      <c r="R21" s="40"/>
      <c r="S21" s="1"/>
      <c r="T21" s="37"/>
      <c r="U21" s="40"/>
      <c r="V21" s="40"/>
      <c r="W21" s="40"/>
      <c r="X21" s="40"/>
    </row>
    <row r="22" spans="1:24" s="73" customFormat="1">
      <c r="A22" s="29"/>
      <c r="B22" s="30" t="s">
        <v>16</v>
      </c>
      <c r="C22" s="31"/>
      <c r="D22" s="31"/>
      <c r="E22" s="33">
        <f t="shared" ref="E22:L22" si="8">E11+E20</f>
        <v>49.480303030303041</v>
      </c>
      <c r="F22" s="34">
        <f t="shared" si="8"/>
        <v>57.527121212121216</v>
      </c>
      <c r="G22" s="33">
        <f t="shared" si="8"/>
        <v>35.928545454545457</v>
      </c>
      <c r="H22" s="34">
        <f t="shared" si="8"/>
        <v>42.276818181818186</v>
      </c>
      <c r="I22" s="33">
        <f t="shared" si="8"/>
        <v>147.61945454545452</v>
      </c>
      <c r="J22" s="34">
        <f t="shared" si="8"/>
        <v>175.62818181818182</v>
      </c>
      <c r="K22" s="33">
        <f t="shared" si="8"/>
        <v>1111.7559393939393</v>
      </c>
      <c r="L22" s="34">
        <f t="shared" si="8"/>
        <v>1313.1125757575758</v>
      </c>
      <c r="M22" s="1"/>
      <c r="N22" s="37"/>
      <c r="O22" s="40"/>
      <c r="P22" s="40"/>
      <c r="Q22" s="40"/>
      <c r="R22" s="40"/>
      <c r="S22" s="1"/>
      <c r="T22" s="37"/>
      <c r="U22" s="40"/>
      <c r="V22" s="40"/>
      <c r="W22" s="40"/>
      <c r="X22" s="40"/>
    </row>
    <row r="23" spans="1:24" s="73" customFormat="1">
      <c r="A23" s="65"/>
      <c r="B23" s="39" t="s">
        <v>30</v>
      </c>
      <c r="C23" s="38"/>
      <c r="D23" s="38"/>
      <c r="E23" s="79">
        <v>46.2</v>
      </c>
      <c r="F23" s="80">
        <v>54</v>
      </c>
      <c r="G23" s="79">
        <v>47.4</v>
      </c>
      <c r="H23" s="79">
        <v>55.2</v>
      </c>
      <c r="I23" s="80">
        <v>201</v>
      </c>
      <c r="J23" s="79">
        <v>229.8</v>
      </c>
      <c r="K23" s="80">
        <v>1410</v>
      </c>
      <c r="L23" s="80">
        <v>1632</v>
      </c>
      <c r="M23" s="1"/>
      <c r="N23" s="37"/>
      <c r="O23" s="40"/>
      <c r="P23" s="40"/>
      <c r="Q23" s="40"/>
      <c r="R23" s="40"/>
      <c r="S23" s="1"/>
      <c r="T23" s="37"/>
      <c r="U23" s="40"/>
      <c r="V23" s="40"/>
      <c r="W23" s="40"/>
      <c r="X23" s="40"/>
    </row>
    <row r="24" spans="1:24" s="73" customFormat="1">
      <c r="A24" s="99" t="s">
        <v>35</v>
      </c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1"/>
      <c r="M24" s="1"/>
      <c r="N24" s="37"/>
      <c r="O24" s="40"/>
      <c r="P24" s="40"/>
      <c r="Q24" s="40"/>
      <c r="R24" s="40"/>
      <c r="S24" s="1"/>
      <c r="T24" s="37"/>
      <c r="U24" s="40"/>
      <c r="V24" s="40"/>
      <c r="W24" s="40"/>
      <c r="X24" s="40"/>
    </row>
    <row r="25" spans="1:24" s="12" customFormat="1">
      <c r="A25" s="47" t="s">
        <v>202</v>
      </c>
      <c r="B25" s="2" t="s">
        <v>269</v>
      </c>
      <c r="C25" s="15">
        <v>75</v>
      </c>
      <c r="D25" s="18">
        <v>75</v>
      </c>
      <c r="E25" s="13">
        <f>C25*3.9/60</f>
        <v>4.875</v>
      </c>
      <c r="F25" s="17">
        <f>D25*3.9/60</f>
        <v>4.875</v>
      </c>
      <c r="G25" s="13">
        <f>C25*3.71/60</f>
        <v>4.6375000000000002</v>
      </c>
      <c r="H25" s="17">
        <f>D25*3.71/60</f>
        <v>4.6375000000000002</v>
      </c>
      <c r="I25" s="13">
        <f>C25*20.76/60</f>
        <v>25.950000000000003</v>
      </c>
      <c r="J25" s="17">
        <f>D25*20.76/60</f>
        <v>25.950000000000003</v>
      </c>
      <c r="K25" s="13">
        <f t="shared" ref="K25:L25" si="9">E25*4+G25*9+I25*4</f>
        <v>165.03750000000002</v>
      </c>
      <c r="L25" s="17">
        <f t="shared" si="9"/>
        <v>165.03750000000002</v>
      </c>
      <c r="M25" s="1"/>
      <c r="N25" s="37"/>
      <c r="O25" s="40"/>
      <c r="P25" s="40"/>
      <c r="Q25" s="40"/>
      <c r="R25" s="40"/>
      <c r="S25" s="1"/>
      <c r="T25" s="37"/>
      <c r="U25" s="40"/>
      <c r="V25" s="40"/>
      <c r="W25" s="40"/>
      <c r="X25" s="40"/>
    </row>
    <row r="26" spans="1:24" s="12" customFormat="1">
      <c r="A26" s="65" t="s">
        <v>129</v>
      </c>
      <c r="B26" s="5" t="s">
        <v>15</v>
      </c>
      <c r="C26" s="15">
        <v>200</v>
      </c>
      <c r="D26" s="18">
        <v>200</v>
      </c>
      <c r="E26" s="13">
        <f>C26*0.3/200</f>
        <v>0.3</v>
      </c>
      <c r="F26" s="17">
        <f>D26*0.3/200</f>
        <v>0.3</v>
      </c>
      <c r="G26" s="24">
        <f>C26*0/200</f>
        <v>0</v>
      </c>
      <c r="H26" s="17">
        <f>D26*0/200</f>
        <v>0</v>
      </c>
      <c r="I26" s="13">
        <f>C26*15.2/200</f>
        <v>15.2</v>
      </c>
      <c r="J26" s="17">
        <f>D26*15.2/200</f>
        <v>15.2</v>
      </c>
      <c r="K26" s="13">
        <f t="shared" ref="K26:L26" si="10">E26*4+G26*9+I26*4</f>
        <v>62</v>
      </c>
      <c r="L26" s="17">
        <f t="shared" si="10"/>
        <v>62</v>
      </c>
      <c r="M26" s="1"/>
      <c r="N26" s="37"/>
      <c r="O26" s="40"/>
      <c r="P26" s="40"/>
      <c r="Q26" s="40"/>
      <c r="R26" s="40"/>
      <c r="S26" s="1"/>
      <c r="T26" s="37"/>
      <c r="U26" s="40"/>
      <c r="V26" s="40"/>
      <c r="W26" s="40"/>
      <c r="X26" s="40"/>
    </row>
    <row r="27" spans="1:24" s="12" customFormat="1">
      <c r="A27" s="3"/>
      <c r="B27" s="7" t="s">
        <v>18</v>
      </c>
      <c r="C27" s="48">
        <f t="shared" ref="C27:L27" si="11">SUM(C25:C26)</f>
        <v>275</v>
      </c>
      <c r="D27" s="11">
        <f t="shared" si="11"/>
        <v>275</v>
      </c>
      <c r="E27" s="10">
        <f t="shared" si="11"/>
        <v>5.1749999999999998</v>
      </c>
      <c r="F27" s="16">
        <f t="shared" si="11"/>
        <v>5.1749999999999998</v>
      </c>
      <c r="G27" s="10">
        <f t="shared" si="11"/>
        <v>4.6375000000000002</v>
      </c>
      <c r="H27" s="11">
        <f t="shared" si="11"/>
        <v>4.6375000000000002</v>
      </c>
      <c r="I27" s="48">
        <f t="shared" si="11"/>
        <v>41.150000000000006</v>
      </c>
      <c r="J27" s="11">
        <f t="shared" si="11"/>
        <v>41.150000000000006</v>
      </c>
      <c r="K27" s="10">
        <f t="shared" si="11"/>
        <v>227.03750000000002</v>
      </c>
      <c r="L27" s="16">
        <f t="shared" si="11"/>
        <v>227.03750000000002</v>
      </c>
      <c r="M27" s="36"/>
      <c r="N27" s="49"/>
      <c r="O27" s="40"/>
      <c r="P27" s="40"/>
      <c r="Q27" s="40"/>
      <c r="R27" s="40"/>
      <c r="S27" s="36"/>
      <c r="T27" s="37"/>
      <c r="U27" s="40"/>
      <c r="V27" s="40"/>
      <c r="W27" s="40"/>
      <c r="X27" s="40"/>
    </row>
    <row r="28" spans="1:24" s="12" customFormat="1">
      <c r="A28" s="99"/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1"/>
      <c r="N28" s="50"/>
      <c r="Q28" s="35"/>
      <c r="T28" s="51"/>
    </row>
    <row r="29" spans="1:24">
      <c r="A29" s="26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N29" s="44"/>
      <c r="T29" s="40"/>
    </row>
    <row r="30" spans="1:24">
      <c r="A30" s="26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N30" s="44"/>
      <c r="T30" s="40"/>
    </row>
    <row r="31" spans="1:24">
      <c r="A31" s="26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N31" s="45"/>
      <c r="T31" s="46"/>
    </row>
    <row r="32" spans="1:24">
      <c r="A32" s="26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N32" s="1"/>
      <c r="T32" s="1"/>
    </row>
    <row r="33" spans="1:20">
      <c r="A33" s="26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T33" s="1"/>
    </row>
    <row r="34" spans="1:20">
      <c r="A34" s="26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</row>
    <row r="35" spans="1:20">
      <c r="A35" s="26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</row>
    <row r="36" spans="1:20">
      <c r="A36" s="26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</row>
    <row r="37" spans="1:20">
      <c r="A37" s="36"/>
      <c r="B37" s="36"/>
      <c r="C37" s="36"/>
      <c r="D37" s="32"/>
      <c r="E37" s="32"/>
      <c r="F37" s="32"/>
      <c r="G37" s="32"/>
      <c r="H37" s="32"/>
      <c r="I37" s="32"/>
      <c r="J37" s="32"/>
      <c r="K37" s="32"/>
      <c r="L37" s="32"/>
    </row>
    <row r="38" spans="1:20">
      <c r="A38" s="1"/>
      <c r="B38" s="1"/>
      <c r="C38" s="37"/>
      <c r="D38" s="26"/>
      <c r="E38" s="26"/>
      <c r="F38" s="26"/>
      <c r="G38" s="26"/>
      <c r="H38" s="26"/>
      <c r="I38" s="26"/>
      <c r="J38" s="26"/>
      <c r="K38" s="26"/>
      <c r="L38" s="26"/>
      <c r="M38" s="1"/>
    </row>
    <row r="39" spans="1:20">
      <c r="A39" s="1"/>
      <c r="B39" s="1"/>
      <c r="C39" s="37"/>
      <c r="D39" s="26"/>
      <c r="E39" s="26"/>
      <c r="F39" s="26"/>
      <c r="G39" s="26"/>
      <c r="H39" s="26"/>
      <c r="I39" s="26"/>
      <c r="J39" s="26"/>
      <c r="K39" s="26"/>
      <c r="L39" s="26"/>
      <c r="M39" s="1"/>
    </row>
    <row r="40" spans="1:20">
      <c r="A40" s="1"/>
      <c r="B40" s="1"/>
      <c r="C40" s="37"/>
      <c r="D40" s="26"/>
      <c r="E40" s="26"/>
      <c r="F40" s="26"/>
      <c r="G40" s="26"/>
      <c r="H40" s="26"/>
      <c r="I40" s="26"/>
      <c r="J40" s="26"/>
      <c r="K40" s="26"/>
      <c r="L40" s="26"/>
      <c r="M40" s="1"/>
    </row>
    <row r="41" spans="1:20">
      <c r="A41" s="1"/>
      <c r="B41" s="1"/>
      <c r="C41" s="37"/>
      <c r="D41" s="26"/>
      <c r="E41" s="26"/>
      <c r="F41" s="26"/>
      <c r="G41" s="26"/>
      <c r="H41" s="26"/>
      <c r="I41" s="26"/>
      <c r="J41" s="26"/>
      <c r="K41" s="26"/>
      <c r="L41" s="26"/>
      <c r="M41" s="1"/>
    </row>
    <row r="42" spans="1:20">
      <c r="A42" s="1"/>
      <c r="B42" s="1"/>
      <c r="C42" s="37"/>
      <c r="D42" s="1"/>
      <c r="I42" s="8"/>
      <c r="J42" s="8"/>
      <c r="K42" s="8"/>
      <c r="L42" s="8"/>
    </row>
    <row r="43" spans="1:20">
      <c r="A43" s="1"/>
      <c r="B43" s="1"/>
      <c r="C43" s="37"/>
      <c r="D43" s="1"/>
    </row>
    <row r="44" spans="1:20">
      <c r="A44" s="1"/>
      <c r="B44" s="1"/>
      <c r="C44" s="37"/>
      <c r="D44" s="1"/>
    </row>
    <row r="45" spans="1:20">
      <c r="A45" s="1"/>
      <c r="B45" s="1"/>
      <c r="C45" s="37"/>
      <c r="D45" s="1"/>
    </row>
    <row r="46" spans="1:20">
      <c r="A46" s="1"/>
      <c r="B46" s="1"/>
      <c r="C46" s="37"/>
      <c r="D46" s="1"/>
    </row>
    <row r="47" spans="1:20">
      <c r="A47" s="1"/>
      <c r="B47" s="1"/>
      <c r="C47" s="37"/>
      <c r="D47" s="1"/>
    </row>
    <row r="48" spans="1:20">
      <c r="A48" s="1"/>
      <c r="B48" s="1"/>
      <c r="C48" s="37"/>
      <c r="D48" s="1"/>
    </row>
    <row r="49" spans="1:4">
      <c r="A49" s="1"/>
      <c r="B49" s="1"/>
      <c r="C49" s="37"/>
      <c r="D49" s="1"/>
    </row>
    <row r="50" spans="1:4">
      <c r="A50" s="1"/>
      <c r="B50" s="1"/>
      <c r="C50" s="37"/>
      <c r="D50" s="1"/>
    </row>
    <row r="51" spans="1:4">
      <c r="A51" s="1"/>
      <c r="B51" s="1"/>
      <c r="C51" s="37"/>
      <c r="D51" s="1"/>
    </row>
    <row r="52" spans="1:4">
      <c r="A52" s="1"/>
      <c r="B52" s="1"/>
      <c r="C52" s="37"/>
      <c r="D52" s="1"/>
    </row>
    <row r="53" spans="1:4">
      <c r="A53" s="1"/>
      <c r="B53" s="1"/>
      <c r="C53" s="37"/>
      <c r="D53" s="1"/>
    </row>
    <row r="54" spans="1:4">
      <c r="A54" s="1"/>
      <c r="B54" s="1"/>
      <c r="C54" s="37"/>
      <c r="D54" s="1"/>
    </row>
    <row r="55" spans="1:4">
      <c r="A55" s="1"/>
      <c r="B55" s="1"/>
      <c r="C55" s="37"/>
      <c r="D55" s="1"/>
    </row>
    <row r="56" spans="1:4">
      <c r="A56" s="1"/>
      <c r="B56" s="1"/>
      <c r="C56" s="37"/>
      <c r="D56" s="1"/>
    </row>
    <row r="57" spans="1:4">
      <c r="A57" s="1"/>
      <c r="B57" s="1"/>
      <c r="C57" s="37"/>
      <c r="D57" s="1"/>
    </row>
    <row r="58" spans="1:4">
      <c r="A58" s="1"/>
      <c r="B58" s="1"/>
      <c r="C58" s="37"/>
      <c r="D58" s="1"/>
    </row>
    <row r="59" spans="1:4">
      <c r="A59" s="1"/>
      <c r="B59" s="1"/>
      <c r="C59" s="37"/>
      <c r="D59" s="1"/>
    </row>
    <row r="60" spans="1:4">
      <c r="A60" s="1"/>
      <c r="B60" s="1"/>
      <c r="C60" s="37"/>
      <c r="D60" s="1"/>
    </row>
    <row r="61" spans="1:4">
      <c r="A61" s="1"/>
      <c r="B61" s="1"/>
      <c r="C61" s="37"/>
      <c r="D61" s="1"/>
    </row>
    <row r="62" spans="1:4">
      <c r="A62" s="1"/>
      <c r="B62" s="1"/>
      <c r="C62" s="37"/>
      <c r="D62" s="1"/>
    </row>
    <row r="63" spans="1:4">
      <c r="A63" s="1"/>
      <c r="B63" s="1"/>
      <c r="C63" s="37"/>
      <c r="D63" s="1"/>
    </row>
    <row r="64" spans="1:4">
      <c r="A64" s="1"/>
      <c r="B64" s="1"/>
      <c r="C64" s="1"/>
    </row>
    <row r="65" spans="1:3">
      <c r="A65" s="1"/>
      <c r="B65" s="1"/>
      <c r="C65" s="1"/>
    </row>
    <row r="66" spans="1:3">
      <c r="A66" s="1"/>
      <c r="B66" s="1"/>
      <c r="C66" s="1"/>
    </row>
    <row r="67" spans="1:3">
      <c r="A67" s="1"/>
      <c r="B67" s="1"/>
      <c r="C67" s="1"/>
    </row>
    <row r="68" spans="1:3">
      <c r="A68" s="1"/>
      <c r="B68" s="1"/>
      <c r="C68" s="1"/>
    </row>
  </sheetData>
  <mergeCells count="17">
    <mergeCell ref="E2:H2"/>
    <mergeCell ref="A1:B1"/>
    <mergeCell ref="K3:L4"/>
    <mergeCell ref="C3:D4"/>
    <mergeCell ref="E3:J3"/>
    <mergeCell ref="E4:F4"/>
    <mergeCell ref="G4:H4"/>
    <mergeCell ref="I4:J4"/>
    <mergeCell ref="A3:A5"/>
    <mergeCell ref="B3:B5"/>
    <mergeCell ref="A2:D2"/>
    <mergeCell ref="E1:H1"/>
    <mergeCell ref="A12:L12"/>
    <mergeCell ref="A21:L21"/>
    <mergeCell ref="A28:L28"/>
    <mergeCell ref="A6:L6"/>
    <mergeCell ref="A24:L24"/>
  </mergeCells>
  <pageMargins left="0.32291666666666669" right="0.7" top="0.29166666666666669" bottom="0.44791666666666669" header="0.3" footer="0.3"/>
  <pageSetup paperSize="9" orientation="landscape" horizontalDpi="180" verticalDpi="1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X70"/>
  <sheetViews>
    <sheetView topLeftCell="A4" zoomScaleNormal="100" workbookViewId="0">
      <selection activeCell="A18" sqref="A18:L18"/>
    </sheetView>
  </sheetViews>
  <sheetFormatPr defaultRowHeight="15"/>
  <cols>
    <col min="1" max="1" width="10.5703125" style="73" customWidth="1"/>
    <col min="2" max="2" width="37" style="73" customWidth="1"/>
    <col min="3" max="3" width="7.28515625" style="73" customWidth="1"/>
    <col min="4" max="4" width="9" style="73" customWidth="1"/>
    <col min="5" max="5" width="6.7109375" style="73" customWidth="1"/>
    <col min="6" max="6" width="6.85546875" style="73" customWidth="1"/>
    <col min="7" max="7" width="6.42578125" style="73" customWidth="1"/>
    <col min="8" max="8" width="6.5703125" style="73" customWidth="1"/>
    <col min="9" max="9" width="7.5703125" style="73" customWidth="1"/>
    <col min="10" max="10" width="7.42578125" style="73" customWidth="1"/>
    <col min="11" max="11" width="9.7109375" style="73" customWidth="1"/>
    <col min="12" max="12" width="9.42578125" style="73" customWidth="1"/>
    <col min="13" max="13" width="9" style="73" customWidth="1"/>
    <col min="14" max="14" width="7.28515625" style="73" customWidth="1"/>
    <col min="15" max="18" width="9.140625" style="73"/>
    <col min="19" max="19" width="19.7109375" style="73" customWidth="1"/>
    <col min="20" max="20" width="7.7109375" style="73" customWidth="1"/>
    <col min="21" max="21" width="9.140625" style="73"/>
    <col min="22" max="22" width="7.7109375" style="73" customWidth="1"/>
    <col min="23" max="16384" width="9.140625" style="73"/>
  </cols>
  <sheetData>
    <row r="1" spans="1:24" ht="15.75">
      <c r="A1" s="107" t="s">
        <v>122</v>
      </c>
      <c r="B1" s="107"/>
      <c r="C1" s="60"/>
      <c r="D1" s="60"/>
      <c r="E1" s="108" t="s">
        <v>170</v>
      </c>
      <c r="F1" s="108"/>
      <c r="G1" s="108"/>
      <c r="H1" s="108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5.75">
      <c r="A2" s="109" t="s">
        <v>123</v>
      </c>
      <c r="B2" s="109"/>
      <c r="C2" s="109"/>
      <c r="D2" s="109"/>
      <c r="E2" s="85" t="s">
        <v>171</v>
      </c>
      <c r="F2" s="85"/>
      <c r="G2" s="85"/>
      <c r="H2" s="85"/>
      <c r="I2" s="61"/>
      <c r="J2" s="61"/>
      <c r="K2" s="61"/>
      <c r="L2" s="61"/>
      <c r="M2" s="36"/>
      <c r="N2" s="36"/>
      <c r="O2" s="1"/>
      <c r="P2" s="1"/>
      <c r="Q2" s="1"/>
      <c r="R2" s="1"/>
      <c r="S2" s="36"/>
      <c r="T2" s="36"/>
      <c r="U2" s="1"/>
      <c r="V2" s="1"/>
      <c r="W2" s="1"/>
      <c r="X2" s="1"/>
    </row>
    <row r="3" spans="1:24" ht="15" customHeight="1">
      <c r="A3" s="110" t="s">
        <v>0</v>
      </c>
      <c r="B3" s="113" t="s">
        <v>1</v>
      </c>
      <c r="C3" s="116" t="s">
        <v>8</v>
      </c>
      <c r="D3" s="117"/>
      <c r="E3" s="103" t="s">
        <v>9</v>
      </c>
      <c r="F3" s="103"/>
      <c r="G3" s="103"/>
      <c r="H3" s="103"/>
      <c r="I3" s="103"/>
      <c r="J3" s="103"/>
      <c r="K3" s="102" t="s">
        <v>7</v>
      </c>
      <c r="L3" s="102"/>
      <c r="M3" s="1"/>
      <c r="N3" s="37"/>
      <c r="O3" s="40"/>
      <c r="P3" s="40"/>
      <c r="Q3" s="40"/>
      <c r="R3" s="40"/>
      <c r="S3" s="1"/>
      <c r="T3" s="37"/>
      <c r="U3" s="40"/>
      <c r="V3" s="40"/>
      <c r="W3" s="40"/>
      <c r="X3" s="40"/>
    </row>
    <row r="4" spans="1:24">
      <c r="A4" s="111"/>
      <c r="B4" s="114"/>
      <c r="C4" s="116"/>
      <c r="D4" s="117"/>
      <c r="E4" s="103" t="s">
        <v>5</v>
      </c>
      <c r="F4" s="103"/>
      <c r="G4" s="102" t="s">
        <v>4</v>
      </c>
      <c r="H4" s="102"/>
      <c r="I4" s="103" t="s">
        <v>6</v>
      </c>
      <c r="J4" s="103"/>
      <c r="K4" s="102"/>
      <c r="L4" s="102"/>
      <c r="M4" s="1"/>
      <c r="N4" s="37"/>
      <c r="O4" s="40"/>
      <c r="P4" s="40"/>
      <c r="Q4" s="40"/>
      <c r="R4" s="40"/>
      <c r="S4" s="1"/>
      <c r="T4" s="37"/>
      <c r="U4" s="40"/>
      <c r="V4" s="40"/>
      <c r="W4" s="40"/>
      <c r="X4" s="40"/>
    </row>
    <row r="5" spans="1:24" ht="63">
      <c r="A5" s="112"/>
      <c r="B5" s="115"/>
      <c r="C5" s="75" t="s">
        <v>128</v>
      </c>
      <c r="D5" s="76" t="s">
        <v>127</v>
      </c>
      <c r="E5" s="75" t="s">
        <v>128</v>
      </c>
      <c r="F5" s="76" t="s">
        <v>127</v>
      </c>
      <c r="G5" s="75" t="s">
        <v>128</v>
      </c>
      <c r="H5" s="76" t="s">
        <v>127</v>
      </c>
      <c r="I5" s="75" t="s">
        <v>128</v>
      </c>
      <c r="J5" s="76" t="s">
        <v>127</v>
      </c>
      <c r="K5" s="75" t="s">
        <v>128</v>
      </c>
      <c r="L5" s="77" t="s">
        <v>127</v>
      </c>
      <c r="M5" s="1"/>
      <c r="N5" s="37"/>
      <c r="O5" s="40"/>
      <c r="P5" s="40"/>
      <c r="Q5" s="40"/>
      <c r="R5" s="40"/>
      <c r="S5" s="1"/>
      <c r="T5" s="37"/>
      <c r="U5" s="40"/>
      <c r="V5" s="40"/>
      <c r="W5" s="40"/>
      <c r="X5" s="40"/>
    </row>
    <row r="6" spans="1:24">
      <c r="A6" s="99" t="s">
        <v>10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1"/>
      <c r="M6" s="1"/>
      <c r="N6" s="37"/>
      <c r="O6" s="40"/>
      <c r="P6" s="40"/>
      <c r="Q6" s="40"/>
      <c r="R6" s="40"/>
      <c r="S6" s="1"/>
      <c r="T6" s="37"/>
      <c r="U6" s="40"/>
      <c r="V6" s="40"/>
      <c r="W6" s="40"/>
      <c r="X6" s="40"/>
    </row>
    <row r="7" spans="1:24">
      <c r="A7" s="65" t="s">
        <v>124</v>
      </c>
      <c r="B7" s="74" t="s">
        <v>125</v>
      </c>
      <c r="C7" s="15">
        <v>160</v>
      </c>
      <c r="D7" s="20">
        <v>200</v>
      </c>
      <c r="E7" s="13">
        <f>C7*3/100</f>
        <v>4.8</v>
      </c>
      <c r="F7" s="17">
        <f>D7*3/100</f>
        <v>6</v>
      </c>
      <c r="G7" s="13">
        <f>C7*4.7/100</f>
        <v>7.52</v>
      </c>
      <c r="H7" s="17">
        <f>D7*4.7/100</f>
        <v>9.4</v>
      </c>
      <c r="I7" s="15">
        <f>C7*15.5/100</f>
        <v>24.8</v>
      </c>
      <c r="J7" s="17">
        <f>D7*15.5/100</f>
        <v>31</v>
      </c>
      <c r="K7" s="15">
        <f t="shared" ref="K7:L11" si="0">E7*4+G7*9+I7*4</f>
        <v>186.07999999999998</v>
      </c>
      <c r="L7" s="17">
        <f t="shared" si="0"/>
        <v>232.60000000000002</v>
      </c>
      <c r="M7" s="1"/>
      <c r="N7" s="37"/>
      <c r="O7" s="40"/>
      <c r="P7" s="40"/>
      <c r="Q7" s="40"/>
      <c r="R7" s="40"/>
      <c r="S7" s="1"/>
      <c r="T7" s="37"/>
      <c r="U7" s="40"/>
      <c r="V7" s="40"/>
      <c r="W7" s="40"/>
      <c r="X7" s="40"/>
    </row>
    <row r="8" spans="1:24">
      <c r="A8" s="65"/>
      <c r="B8" s="2" t="s">
        <v>2</v>
      </c>
      <c r="C8" s="14">
        <v>30</v>
      </c>
      <c r="D8" s="21">
        <v>40</v>
      </c>
      <c r="E8" s="14">
        <f>C8*7.5/100</f>
        <v>2.25</v>
      </c>
      <c r="F8" s="27">
        <f>D8*7.5/100</f>
        <v>3</v>
      </c>
      <c r="G8" s="13">
        <f>C8*2.9/100</f>
        <v>0.87</v>
      </c>
      <c r="H8" s="18">
        <f>D8*2.9/100</f>
        <v>1.1599999999999999</v>
      </c>
      <c r="I8" s="15">
        <f>C8*51.4/100</f>
        <v>15.42</v>
      </c>
      <c r="J8" s="18">
        <f>D8*51.4/100</f>
        <v>20.56</v>
      </c>
      <c r="K8" s="15">
        <f t="shared" si="0"/>
        <v>78.509999999999991</v>
      </c>
      <c r="L8" s="18">
        <f t="shared" si="0"/>
        <v>104.67999999999999</v>
      </c>
      <c r="M8" s="1"/>
      <c r="N8" s="37"/>
      <c r="O8" s="40"/>
      <c r="P8" s="40"/>
      <c r="Q8" s="40"/>
      <c r="R8" s="40"/>
      <c r="S8" s="1"/>
      <c r="T8" s="37"/>
      <c r="U8" s="40"/>
      <c r="V8" s="40"/>
      <c r="W8" s="40"/>
      <c r="X8" s="40"/>
    </row>
    <row r="9" spans="1:24">
      <c r="A9" s="65" t="s">
        <v>130</v>
      </c>
      <c r="B9" s="4" t="s">
        <v>33</v>
      </c>
      <c r="C9" s="15">
        <v>20</v>
      </c>
      <c r="D9" s="22">
        <v>20</v>
      </c>
      <c r="E9" s="15">
        <f>C9*5.1/40</f>
        <v>2.5499999999999998</v>
      </c>
      <c r="F9" s="18">
        <f>D9*5.1/40</f>
        <v>2.5499999999999998</v>
      </c>
      <c r="G9" s="13">
        <f>C9*4.6/40</f>
        <v>2.2999999999999998</v>
      </c>
      <c r="H9" s="17">
        <f>D9*4.6/40</f>
        <v>2.2999999999999998</v>
      </c>
      <c r="I9" s="15">
        <f>C9*0.3/40</f>
        <v>0.15</v>
      </c>
      <c r="J9" s="18">
        <f>D9*0.3/40</f>
        <v>0.15</v>
      </c>
      <c r="K9" s="13">
        <f t="shared" si="0"/>
        <v>31.5</v>
      </c>
      <c r="L9" s="17">
        <f t="shared" si="0"/>
        <v>31.5</v>
      </c>
      <c r="M9" s="1"/>
      <c r="N9" s="37"/>
      <c r="O9" s="40"/>
      <c r="P9" s="40"/>
      <c r="Q9" s="40"/>
      <c r="R9" s="40"/>
      <c r="S9" s="1"/>
      <c r="T9" s="37"/>
      <c r="U9" s="40"/>
      <c r="V9" s="40"/>
      <c r="W9" s="40"/>
      <c r="X9" s="40"/>
    </row>
    <row r="10" spans="1:24">
      <c r="A10" s="65" t="s">
        <v>129</v>
      </c>
      <c r="B10" s="5" t="s">
        <v>15</v>
      </c>
      <c r="C10" s="15">
        <v>200</v>
      </c>
      <c r="D10" s="18">
        <v>200</v>
      </c>
      <c r="E10" s="13">
        <f>C10*0.3/200</f>
        <v>0.3</v>
      </c>
      <c r="F10" s="17">
        <f>D10*0.3/200</f>
        <v>0.3</v>
      </c>
      <c r="G10" s="24">
        <f>C10*0/200</f>
        <v>0</v>
      </c>
      <c r="H10" s="17">
        <f>D10*0/200</f>
        <v>0</v>
      </c>
      <c r="I10" s="13">
        <f>C10*15.2/200</f>
        <v>15.2</v>
      </c>
      <c r="J10" s="17">
        <f>D10*15.2/200</f>
        <v>15.2</v>
      </c>
      <c r="K10" s="13">
        <f t="shared" si="0"/>
        <v>62</v>
      </c>
      <c r="L10" s="17">
        <f t="shared" si="0"/>
        <v>62</v>
      </c>
      <c r="M10" s="1"/>
      <c r="N10" s="37"/>
      <c r="O10" s="40"/>
      <c r="P10" s="40"/>
      <c r="Q10" s="40"/>
      <c r="R10" s="40"/>
      <c r="S10" s="1"/>
      <c r="T10" s="37"/>
      <c r="U10" s="40"/>
      <c r="V10" s="40"/>
      <c r="W10" s="40"/>
      <c r="X10" s="40"/>
    </row>
    <row r="11" spans="1:24">
      <c r="A11" s="64"/>
      <c r="B11" s="7" t="s">
        <v>19</v>
      </c>
      <c r="C11" s="62">
        <f>SUM(C7:C10)</f>
        <v>410</v>
      </c>
      <c r="D11" s="23">
        <f>SUM(D7:D10)</f>
        <v>460</v>
      </c>
      <c r="E11" s="10">
        <f t="shared" ref="E11:J11" si="1">SUM(E7:E10)</f>
        <v>9.9</v>
      </c>
      <c r="F11" s="16">
        <f t="shared" si="1"/>
        <v>11.850000000000001</v>
      </c>
      <c r="G11" s="10">
        <f t="shared" si="1"/>
        <v>10.689999999999998</v>
      </c>
      <c r="H11" s="16">
        <f t="shared" si="1"/>
        <v>12.86</v>
      </c>
      <c r="I11" s="10">
        <f t="shared" si="1"/>
        <v>55.569999999999993</v>
      </c>
      <c r="J11" s="16">
        <f t="shared" si="1"/>
        <v>66.91</v>
      </c>
      <c r="K11" s="10">
        <f t="shared" si="0"/>
        <v>358.08999999999992</v>
      </c>
      <c r="L11" s="16">
        <f t="shared" si="0"/>
        <v>430.78</v>
      </c>
      <c r="M11" s="1"/>
      <c r="N11" s="37"/>
      <c r="O11" s="40"/>
      <c r="P11" s="40"/>
      <c r="Q11" s="40"/>
      <c r="R11" s="40"/>
      <c r="S11" s="1"/>
      <c r="T11" s="37"/>
      <c r="U11" s="40"/>
      <c r="V11" s="40"/>
      <c r="W11" s="40"/>
      <c r="X11" s="40"/>
    </row>
    <row r="12" spans="1:24">
      <c r="A12" s="104" t="s">
        <v>11</v>
      </c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06"/>
      <c r="M12" s="1"/>
      <c r="N12" s="37"/>
      <c r="O12" s="40"/>
      <c r="P12" s="40"/>
      <c r="Q12" s="40"/>
      <c r="R12" s="40"/>
      <c r="S12" s="1"/>
      <c r="T12" s="37"/>
      <c r="U12" s="40"/>
      <c r="V12" s="40"/>
      <c r="W12" s="40"/>
      <c r="X12" s="40"/>
    </row>
    <row r="13" spans="1:24">
      <c r="A13" s="65" t="s">
        <v>131</v>
      </c>
      <c r="B13" s="5" t="s">
        <v>12</v>
      </c>
      <c r="C13" s="15">
        <v>60</v>
      </c>
      <c r="D13" s="25">
        <v>100</v>
      </c>
      <c r="E13" s="13">
        <f>C13*4.51/100</f>
        <v>2.7059999999999995</v>
      </c>
      <c r="F13" s="17">
        <f>D13*4.51/100</f>
        <v>4.51</v>
      </c>
      <c r="G13" s="13">
        <f>C13*7.86/100</f>
        <v>4.7160000000000002</v>
      </c>
      <c r="H13" s="17">
        <f>D13*7.86/100</f>
        <v>7.86</v>
      </c>
      <c r="I13" s="15">
        <f>C13*7.25/100</f>
        <v>4.3499999999999996</v>
      </c>
      <c r="J13" s="17">
        <f>D13*7.25/100</f>
        <v>7.25</v>
      </c>
      <c r="K13" s="13">
        <f t="shared" ref="K13:L28" si="2">E13*4+G13*9+I13*4</f>
        <v>70.668000000000006</v>
      </c>
      <c r="L13" s="17">
        <f t="shared" si="2"/>
        <v>117.78</v>
      </c>
      <c r="M13" s="1"/>
      <c r="N13" s="37"/>
      <c r="O13" s="40"/>
      <c r="P13" s="40"/>
      <c r="Q13" s="40"/>
      <c r="R13" s="40"/>
      <c r="S13" s="1"/>
      <c r="T13" s="37"/>
      <c r="U13" s="40"/>
      <c r="V13" s="40"/>
      <c r="W13" s="40"/>
      <c r="X13" s="40"/>
    </row>
    <row r="14" spans="1:24">
      <c r="A14" s="65" t="s">
        <v>132</v>
      </c>
      <c r="B14" s="5" t="s">
        <v>133</v>
      </c>
      <c r="C14" s="15">
        <v>200</v>
      </c>
      <c r="D14" s="25">
        <v>250</v>
      </c>
      <c r="E14" s="13">
        <f>C14*6.2/250</f>
        <v>4.96</v>
      </c>
      <c r="F14" s="17">
        <f>D14*6.2/250</f>
        <v>6.2</v>
      </c>
      <c r="G14" s="13">
        <f>C14*5.6/250</f>
        <v>4.4800000000000004</v>
      </c>
      <c r="H14" s="17">
        <f>D14*5.6/250</f>
        <v>5.6</v>
      </c>
      <c r="I14" s="13">
        <f>C14*22.3/250</f>
        <v>17.84</v>
      </c>
      <c r="J14" s="17">
        <f>D14*22.3/250</f>
        <v>22.3</v>
      </c>
      <c r="K14" s="13">
        <f t="shared" si="2"/>
        <v>131.52000000000001</v>
      </c>
      <c r="L14" s="17">
        <f t="shared" si="2"/>
        <v>164.4</v>
      </c>
      <c r="M14" s="1"/>
      <c r="N14" s="37"/>
      <c r="O14" s="40"/>
      <c r="P14" s="40"/>
      <c r="Q14" s="40"/>
      <c r="R14" s="40"/>
      <c r="S14" s="1"/>
      <c r="T14" s="37"/>
      <c r="U14" s="40"/>
      <c r="V14" s="40"/>
      <c r="W14" s="40"/>
      <c r="X14" s="40"/>
    </row>
    <row r="15" spans="1:24">
      <c r="A15" s="65" t="s">
        <v>134</v>
      </c>
      <c r="B15" s="42" t="s">
        <v>14</v>
      </c>
      <c r="C15" s="15">
        <v>150</v>
      </c>
      <c r="D15" s="18">
        <v>180</v>
      </c>
      <c r="E15" s="13">
        <f>C15*3.5/100</f>
        <v>5.25</v>
      </c>
      <c r="F15" s="17">
        <f>D15*3.5/100</f>
        <v>6.3</v>
      </c>
      <c r="G15" s="15">
        <f>C15*4.1/100</f>
        <v>6.15</v>
      </c>
      <c r="H15" s="17">
        <f>D15*4.1/100</f>
        <v>7.379999999999999</v>
      </c>
      <c r="I15" s="13">
        <f>C15*23.5/100</f>
        <v>35.25</v>
      </c>
      <c r="J15" s="17">
        <f>D15*23.5/100</f>
        <v>42.3</v>
      </c>
      <c r="K15" s="13">
        <f t="shared" si="2"/>
        <v>217.35</v>
      </c>
      <c r="L15" s="17">
        <f t="shared" si="2"/>
        <v>260.82</v>
      </c>
      <c r="M15" s="1"/>
      <c r="N15" s="37"/>
      <c r="O15" s="40"/>
      <c r="P15" s="40"/>
      <c r="Q15" s="40"/>
      <c r="R15" s="40"/>
      <c r="S15" s="1"/>
      <c r="T15" s="37"/>
      <c r="U15" s="40"/>
      <c r="V15" s="40"/>
      <c r="W15" s="40"/>
      <c r="X15" s="40"/>
    </row>
    <row r="16" spans="1:24">
      <c r="A16" s="47" t="s">
        <v>157</v>
      </c>
      <c r="B16" s="2" t="s">
        <v>135</v>
      </c>
      <c r="C16" s="15">
        <v>90</v>
      </c>
      <c r="D16" s="18">
        <v>100</v>
      </c>
      <c r="E16" s="13">
        <f>C16*6.45/55</f>
        <v>10.554545454545455</v>
      </c>
      <c r="F16" s="17">
        <f>D16*6.45/55</f>
        <v>11.727272727272727</v>
      </c>
      <c r="G16" s="13">
        <f>C16*2.66/55</f>
        <v>4.3527272727272726</v>
      </c>
      <c r="H16" s="17">
        <f>D16*2.66/55</f>
        <v>4.836363636363636</v>
      </c>
      <c r="I16" s="13">
        <f>C16*6.61/55</f>
        <v>10.816363636363636</v>
      </c>
      <c r="J16" s="17">
        <f>D16*6.61/55</f>
        <v>12.018181818181818</v>
      </c>
      <c r="K16" s="13">
        <f t="shared" si="2"/>
        <v>124.65818181818182</v>
      </c>
      <c r="L16" s="17">
        <f t="shared" si="2"/>
        <v>138.5090909090909</v>
      </c>
      <c r="M16" s="1"/>
      <c r="N16" s="37"/>
      <c r="O16" s="40"/>
      <c r="P16" s="40"/>
      <c r="Q16" s="40"/>
      <c r="R16" s="40"/>
      <c r="S16" s="1"/>
      <c r="T16" s="37"/>
      <c r="U16" s="40"/>
      <c r="V16" s="40"/>
      <c r="W16" s="40"/>
      <c r="X16" s="40"/>
    </row>
    <row r="17" spans="1:24">
      <c r="A17" s="47" t="s">
        <v>165</v>
      </c>
      <c r="B17" s="2" t="s">
        <v>24</v>
      </c>
      <c r="C17" s="15">
        <v>20</v>
      </c>
      <c r="D17" s="18">
        <v>30</v>
      </c>
      <c r="E17" s="13">
        <f>C17*1.3/50</f>
        <v>0.52</v>
      </c>
      <c r="F17" s="17">
        <f>D17*1.3/50</f>
        <v>0.78</v>
      </c>
      <c r="G17" s="13">
        <f>C17*4.8/50</f>
        <v>1.92</v>
      </c>
      <c r="H17" s="17">
        <f>D17*4.8/50</f>
        <v>2.88</v>
      </c>
      <c r="I17" s="13">
        <f>C17*4.7/50</f>
        <v>1.88</v>
      </c>
      <c r="J17" s="17">
        <f>D17*4.7/50</f>
        <v>2.82</v>
      </c>
      <c r="K17" s="13">
        <f t="shared" ref="K17" si="3">E17*4+G17*9+I17*4</f>
        <v>26.88</v>
      </c>
      <c r="L17" s="17">
        <f t="shared" ref="L17" si="4">F17*4+H17*9+J17*4</f>
        <v>40.32</v>
      </c>
      <c r="M17" s="1"/>
      <c r="N17" s="37"/>
      <c r="O17" s="40"/>
      <c r="P17" s="40"/>
      <c r="Q17" s="40"/>
      <c r="R17" s="40"/>
      <c r="S17" s="1"/>
      <c r="T17" s="37"/>
      <c r="U17" s="40"/>
      <c r="V17" s="40"/>
      <c r="W17" s="40"/>
      <c r="X17" s="40"/>
    </row>
    <row r="18" spans="1:24">
      <c r="A18" s="47" t="s">
        <v>136</v>
      </c>
      <c r="B18" s="2" t="s">
        <v>137</v>
      </c>
      <c r="C18" s="15">
        <v>200</v>
      </c>
      <c r="D18" s="18">
        <v>200</v>
      </c>
      <c r="E18" s="13">
        <f>C18*0.6/200</f>
        <v>0.6</v>
      </c>
      <c r="F18" s="17">
        <f>D18*0.6/200</f>
        <v>0.6</v>
      </c>
      <c r="G18" s="24">
        <f>C18*0/200</f>
        <v>0</v>
      </c>
      <c r="H18" s="19">
        <f>D18*0/100</f>
        <v>0</v>
      </c>
      <c r="I18" s="13">
        <f>C18*31.4/200</f>
        <v>31.4</v>
      </c>
      <c r="J18" s="17">
        <f>D18*31.4/200</f>
        <v>31.4</v>
      </c>
      <c r="K18" s="13">
        <f t="shared" si="2"/>
        <v>128</v>
      </c>
      <c r="L18" s="17">
        <f t="shared" si="2"/>
        <v>128</v>
      </c>
      <c r="M18" s="1"/>
      <c r="N18" s="37"/>
      <c r="O18" s="40"/>
      <c r="P18" s="40"/>
      <c r="Q18" s="40"/>
      <c r="R18" s="40"/>
      <c r="S18" s="1"/>
      <c r="T18" s="37"/>
      <c r="U18" s="40"/>
      <c r="V18" s="40"/>
      <c r="W18" s="40"/>
      <c r="X18" s="40"/>
    </row>
    <row r="19" spans="1:24">
      <c r="A19" s="65"/>
      <c r="B19" s="5" t="s">
        <v>217</v>
      </c>
      <c r="C19" s="15">
        <v>30</v>
      </c>
      <c r="D19" s="18">
        <v>40</v>
      </c>
      <c r="E19" s="13">
        <f>C19*6.6/100</f>
        <v>1.98</v>
      </c>
      <c r="F19" s="17">
        <f>D19*6.6/100</f>
        <v>2.64</v>
      </c>
      <c r="G19" s="13">
        <f>C19*1.1/100</f>
        <v>0.33</v>
      </c>
      <c r="H19" s="17">
        <f>D19*1.1/100</f>
        <v>0.44</v>
      </c>
      <c r="I19" s="13">
        <f>C19*43.9/100</f>
        <v>13.17</v>
      </c>
      <c r="J19" s="17">
        <f>D19*43.9/100</f>
        <v>17.559999999999999</v>
      </c>
      <c r="K19" s="13">
        <f t="shared" si="2"/>
        <v>63.57</v>
      </c>
      <c r="L19" s="17">
        <f t="shared" si="2"/>
        <v>84.759999999999991</v>
      </c>
      <c r="M19" s="1"/>
      <c r="N19" s="37"/>
      <c r="O19" s="40"/>
      <c r="P19" s="40"/>
      <c r="Q19" s="40"/>
      <c r="R19" s="40"/>
      <c r="S19" s="1"/>
      <c r="T19" s="37"/>
      <c r="U19" s="40"/>
      <c r="V19" s="40"/>
      <c r="W19" s="40"/>
      <c r="X19" s="40"/>
    </row>
    <row r="20" spans="1:24">
      <c r="A20" s="65"/>
      <c r="B20" s="5" t="s">
        <v>216</v>
      </c>
      <c r="C20" s="15">
        <v>30</v>
      </c>
      <c r="D20" s="18">
        <v>40</v>
      </c>
      <c r="E20" s="13">
        <f>C20*7.7/100</f>
        <v>2.31</v>
      </c>
      <c r="F20" s="17">
        <f>D20*7.7/100</f>
        <v>3.08</v>
      </c>
      <c r="G20" s="13">
        <f>C20*0.8/100</f>
        <v>0.24</v>
      </c>
      <c r="H20" s="17">
        <f>D20*0.8/100</f>
        <v>0.32</v>
      </c>
      <c r="I20" s="13">
        <f>C20*49.5/100</f>
        <v>14.85</v>
      </c>
      <c r="J20" s="17">
        <f>D20*49.5/100</f>
        <v>19.8</v>
      </c>
      <c r="K20" s="13">
        <f t="shared" ref="K20" si="5">E20*4+G20*9+I20*4</f>
        <v>70.8</v>
      </c>
      <c r="L20" s="17">
        <f t="shared" ref="L20" si="6">F20*4+H20*9+J20*4</f>
        <v>94.4</v>
      </c>
      <c r="M20" s="1"/>
      <c r="N20" s="37"/>
      <c r="O20" s="40"/>
      <c r="P20" s="40"/>
      <c r="Q20" s="40"/>
      <c r="R20" s="40"/>
      <c r="S20" s="1"/>
      <c r="T20" s="37"/>
      <c r="U20" s="40"/>
      <c r="V20" s="40"/>
      <c r="W20" s="40"/>
      <c r="X20" s="40"/>
    </row>
    <row r="21" spans="1:24">
      <c r="A21" s="65"/>
      <c r="B21" s="5" t="s">
        <v>248</v>
      </c>
      <c r="C21" s="15">
        <v>100</v>
      </c>
      <c r="D21" s="18">
        <v>100</v>
      </c>
      <c r="E21" s="13">
        <v>0.4</v>
      </c>
      <c r="F21" s="17">
        <v>0.4</v>
      </c>
      <c r="G21" s="13">
        <v>0.4</v>
      </c>
      <c r="H21" s="17">
        <v>0.4</v>
      </c>
      <c r="I21" s="13">
        <v>9.8000000000000007</v>
      </c>
      <c r="J21" s="17">
        <v>9.8000000000000007</v>
      </c>
      <c r="K21" s="13">
        <f t="shared" ref="K21" si="7">E21*4+G21*9+I21*4</f>
        <v>44.400000000000006</v>
      </c>
      <c r="L21" s="17">
        <f t="shared" ref="L21" si="8">F21*4+H21*9+J21*4</f>
        <v>44.400000000000006</v>
      </c>
      <c r="M21" s="1"/>
      <c r="N21" s="37"/>
      <c r="O21" s="40"/>
      <c r="P21" s="40"/>
      <c r="Q21" s="40"/>
      <c r="R21" s="40"/>
      <c r="S21" s="1"/>
      <c r="T21" s="37"/>
      <c r="U21" s="40"/>
      <c r="V21" s="40"/>
      <c r="W21" s="40"/>
      <c r="X21" s="40"/>
    </row>
    <row r="22" spans="1:24">
      <c r="A22" s="65"/>
      <c r="B22" s="7" t="s">
        <v>20</v>
      </c>
      <c r="C22" s="62">
        <f t="shared" ref="C22:L22" si="9">SUM(C13:C21)</f>
        <v>880</v>
      </c>
      <c r="D22" s="28">
        <f t="shared" si="9"/>
        <v>1040</v>
      </c>
      <c r="E22" s="62">
        <f t="shared" si="9"/>
        <v>29.280545454545454</v>
      </c>
      <c r="F22" s="16">
        <f t="shared" si="9"/>
        <v>36.237272727272725</v>
      </c>
      <c r="G22" s="62">
        <f t="shared" si="9"/>
        <v>22.588727272727272</v>
      </c>
      <c r="H22" s="16">
        <f t="shared" si="9"/>
        <v>29.716363636363635</v>
      </c>
      <c r="I22" s="62">
        <f t="shared" si="9"/>
        <v>139.35636363636365</v>
      </c>
      <c r="J22" s="16">
        <f t="shared" si="9"/>
        <v>165.24818181818182</v>
      </c>
      <c r="K22" s="10">
        <f t="shared" si="9"/>
        <v>877.84618181818178</v>
      </c>
      <c r="L22" s="16">
        <f t="shared" si="9"/>
        <v>1073.389090909091</v>
      </c>
      <c r="M22" s="1"/>
      <c r="N22" s="37"/>
      <c r="O22" s="40"/>
      <c r="P22" s="40"/>
      <c r="Q22" s="40"/>
      <c r="R22" s="40"/>
      <c r="S22" s="1"/>
      <c r="T22" s="37"/>
      <c r="U22" s="40"/>
      <c r="V22" s="40"/>
      <c r="W22" s="40"/>
      <c r="X22" s="40"/>
    </row>
    <row r="23" spans="1:24">
      <c r="A23" s="99"/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1"/>
      <c r="M23" s="1"/>
      <c r="N23" s="37"/>
      <c r="O23" s="40"/>
      <c r="P23" s="40"/>
      <c r="Q23" s="40"/>
      <c r="R23" s="40"/>
      <c r="S23" s="1"/>
      <c r="T23" s="37"/>
      <c r="U23" s="40"/>
      <c r="V23" s="40"/>
      <c r="W23" s="40"/>
      <c r="X23" s="40"/>
    </row>
    <row r="24" spans="1:24">
      <c r="A24" s="29"/>
      <c r="B24" s="30" t="s">
        <v>16</v>
      </c>
      <c r="C24" s="31"/>
      <c r="D24" s="31"/>
      <c r="E24" s="33">
        <f t="shared" ref="E24:L24" si="10">E11+E22</f>
        <v>39.180545454545452</v>
      </c>
      <c r="F24" s="34">
        <f t="shared" si="10"/>
        <v>48.087272727272726</v>
      </c>
      <c r="G24" s="33">
        <f t="shared" si="10"/>
        <v>33.278727272727266</v>
      </c>
      <c r="H24" s="34">
        <f t="shared" si="10"/>
        <v>42.576363636363638</v>
      </c>
      <c r="I24" s="33">
        <f t="shared" si="10"/>
        <v>194.92636363636365</v>
      </c>
      <c r="J24" s="34">
        <f t="shared" si="10"/>
        <v>232.15818181818182</v>
      </c>
      <c r="K24" s="33">
        <f t="shared" si="10"/>
        <v>1235.9361818181817</v>
      </c>
      <c r="L24" s="34">
        <f t="shared" si="10"/>
        <v>1504.169090909091</v>
      </c>
      <c r="M24" s="1"/>
      <c r="N24" s="37"/>
      <c r="O24" s="40"/>
      <c r="P24" s="40"/>
      <c r="Q24" s="40"/>
      <c r="R24" s="40"/>
      <c r="S24" s="1"/>
      <c r="T24" s="37"/>
      <c r="U24" s="40"/>
      <c r="V24" s="40"/>
      <c r="W24" s="40"/>
      <c r="X24" s="40"/>
    </row>
    <row r="25" spans="1:24">
      <c r="A25" s="65"/>
      <c r="B25" s="39" t="s">
        <v>30</v>
      </c>
      <c r="C25" s="38"/>
      <c r="D25" s="38"/>
      <c r="E25" s="79">
        <v>46.2</v>
      </c>
      <c r="F25" s="80">
        <v>54</v>
      </c>
      <c r="G25" s="79">
        <v>47.4</v>
      </c>
      <c r="H25" s="79">
        <v>55.2</v>
      </c>
      <c r="I25" s="80">
        <v>201</v>
      </c>
      <c r="J25" s="79">
        <v>229.8</v>
      </c>
      <c r="K25" s="80">
        <v>1410</v>
      </c>
      <c r="L25" s="80">
        <v>1632</v>
      </c>
      <c r="M25" s="1"/>
      <c r="N25" s="37"/>
      <c r="O25" s="40"/>
      <c r="P25" s="40"/>
      <c r="Q25" s="40"/>
      <c r="R25" s="40"/>
      <c r="S25" s="1"/>
      <c r="T25" s="37"/>
      <c r="U25" s="40"/>
      <c r="V25" s="40"/>
      <c r="W25" s="40"/>
      <c r="X25" s="40"/>
    </row>
    <row r="26" spans="1:24">
      <c r="A26" s="57"/>
      <c r="B26" s="58"/>
      <c r="C26" s="58"/>
      <c r="D26" s="58"/>
      <c r="E26" s="58" t="s">
        <v>35</v>
      </c>
      <c r="F26" s="58"/>
      <c r="G26" s="58"/>
      <c r="H26" s="58"/>
      <c r="I26" s="58"/>
      <c r="J26" s="58"/>
      <c r="K26" s="58"/>
      <c r="L26" s="59"/>
      <c r="M26" s="1"/>
      <c r="N26" s="37"/>
      <c r="O26" s="40"/>
      <c r="P26" s="40"/>
      <c r="Q26" s="40"/>
      <c r="R26" s="40"/>
      <c r="S26" s="1"/>
      <c r="T26" s="37"/>
      <c r="U26" s="40"/>
      <c r="V26" s="40"/>
      <c r="W26" s="40"/>
      <c r="X26" s="40"/>
    </row>
    <row r="27" spans="1:24">
      <c r="A27" s="47" t="s">
        <v>138</v>
      </c>
      <c r="B27" s="2" t="s">
        <v>139</v>
      </c>
      <c r="C27" s="15">
        <v>75</v>
      </c>
      <c r="D27" s="18">
        <v>75</v>
      </c>
      <c r="E27" s="13">
        <f>C27*3.95/50</f>
        <v>5.9249999999999998</v>
      </c>
      <c r="F27" s="17">
        <f>D27*3.95/50</f>
        <v>5.9249999999999998</v>
      </c>
      <c r="G27" s="13">
        <f>C27*4.06/50</f>
        <v>6.089999999999999</v>
      </c>
      <c r="H27" s="17">
        <f>D27*4.06/50</f>
        <v>6.089999999999999</v>
      </c>
      <c r="I27" s="13">
        <f>C27*27.24/50</f>
        <v>40.859999999999992</v>
      </c>
      <c r="J27" s="17">
        <f>D27*27.24/50</f>
        <v>40.859999999999992</v>
      </c>
      <c r="K27" s="13">
        <f t="shared" si="2"/>
        <v>241.94999999999996</v>
      </c>
      <c r="L27" s="17">
        <f t="shared" si="2"/>
        <v>241.94999999999996</v>
      </c>
      <c r="M27" s="1"/>
      <c r="N27" s="37"/>
      <c r="O27" s="40"/>
      <c r="P27" s="40"/>
      <c r="Q27" s="40"/>
      <c r="R27" s="40"/>
      <c r="S27" s="1"/>
      <c r="T27" s="37"/>
      <c r="U27" s="40"/>
      <c r="V27" s="40"/>
      <c r="W27" s="40"/>
      <c r="X27" s="40"/>
    </row>
    <row r="28" spans="1:24">
      <c r="A28" s="47" t="s">
        <v>140</v>
      </c>
      <c r="B28" s="2" t="s">
        <v>141</v>
      </c>
      <c r="C28" s="15">
        <v>200</v>
      </c>
      <c r="D28" s="18">
        <v>200</v>
      </c>
      <c r="E28" s="13">
        <f>C28*0.06/180</f>
        <v>6.6666666666666666E-2</v>
      </c>
      <c r="F28" s="17">
        <f>D28*0.06/180</f>
        <v>6.6666666666666666E-2</v>
      </c>
      <c r="G28" s="13">
        <f>C28*0/50</f>
        <v>0</v>
      </c>
      <c r="H28" s="17">
        <f>D28*0/50</f>
        <v>0</v>
      </c>
      <c r="I28" s="13">
        <f>C28*9.99/180</f>
        <v>11.1</v>
      </c>
      <c r="J28" s="17">
        <f>D28*9.99/180</f>
        <v>11.1</v>
      </c>
      <c r="K28" s="13">
        <f t="shared" si="2"/>
        <v>44.666666666666664</v>
      </c>
      <c r="L28" s="17">
        <f t="shared" si="2"/>
        <v>44.666666666666664</v>
      </c>
      <c r="M28" s="1"/>
      <c r="N28" s="37"/>
      <c r="O28" s="40"/>
      <c r="P28" s="40"/>
      <c r="Q28" s="40"/>
      <c r="R28" s="40"/>
      <c r="S28" s="1"/>
      <c r="T28" s="37"/>
      <c r="U28" s="40"/>
      <c r="V28" s="40"/>
      <c r="W28" s="40"/>
      <c r="X28" s="40"/>
    </row>
    <row r="29" spans="1:24">
      <c r="A29" s="65"/>
      <c r="B29" s="7" t="s">
        <v>18</v>
      </c>
      <c r="C29" s="62">
        <f t="shared" ref="C29:L29" si="11">SUM(C27:C28)</f>
        <v>275</v>
      </c>
      <c r="D29" s="11">
        <f t="shared" si="11"/>
        <v>275</v>
      </c>
      <c r="E29" s="10">
        <f t="shared" si="11"/>
        <v>5.9916666666666663</v>
      </c>
      <c r="F29" s="16">
        <f t="shared" si="11"/>
        <v>5.9916666666666663</v>
      </c>
      <c r="G29" s="10">
        <f t="shared" si="11"/>
        <v>6.089999999999999</v>
      </c>
      <c r="H29" s="11">
        <f t="shared" si="11"/>
        <v>6.089999999999999</v>
      </c>
      <c r="I29" s="62">
        <f t="shared" si="11"/>
        <v>51.959999999999994</v>
      </c>
      <c r="J29" s="11">
        <f t="shared" si="11"/>
        <v>51.959999999999994</v>
      </c>
      <c r="K29" s="10">
        <f t="shared" si="11"/>
        <v>286.61666666666662</v>
      </c>
      <c r="L29" s="16">
        <f t="shared" si="11"/>
        <v>286.61666666666662</v>
      </c>
      <c r="M29" s="36"/>
      <c r="N29" s="49"/>
      <c r="O29" s="40"/>
      <c r="P29" s="40"/>
      <c r="Q29" s="40"/>
      <c r="R29" s="40"/>
      <c r="S29" s="36"/>
      <c r="T29" s="37"/>
      <c r="U29" s="40"/>
      <c r="V29" s="40"/>
      <c r="W29" s="40"/>
      <c r="X29" s="40"/>
    </row>
    <row r="30" spans="1:24">
      <c r="A30" s="99"/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1"/>
      <c r="N30" s="50"/>
      <c r="T30" s="51"/>
    </row>
    <row r="31" spans="1:24">
      <c r="A31" s="26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N31" s="44"/>
      <c r="T31" s="40"/>
    </row>
    <row r="32" spans="1:24">
      <c r="A32" s="26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N32" s="44"/>
      <c r="T32" s="40"/>
    </row>
    <row r="33" spans="1:20">
      <c r="A33" s="26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N33" s="45"/>
      <c r="T33" s="46"/>
    </row>
    <row r="34" spans="1:20">
      <c r="A34" s="26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N34" s="1"/>
      <c r="T34" s="1"/>
    </row>
    <row r="35" spans="1:20">
      <c r="A35" s="26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T35" s="1"/>
    </row>
    <row r="36" spans="1:20">
      <c r="A36" s="26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</row>
    <row r="37" spans="1:20">
      <c r="A37" s="26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</row>
    <row r="38" spans="1:20">
      <c r="A38" s="26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</row>
    <row r="39" spans="1:20">
      <c r="A39" s="36"/>
      <c r="B39" s="36"/>
      <c r="C39" s="36"/>
      <c r="D39" s="32"/>
      <c r="E39" s="32"/>
      <c r="F39" s="32"/>
      <c r="G39" s="32"/>
      <c r="H39" s="32"/>
      <c r="I39" s="32"/>
      <c r="J39" s="32"/>
      <c r="K39" s="32"/>
      <c r="L39" s="32"/>
    </row>
    <row r="40" spans="1:20">
      <c r="A40" s="1"/>
      <c r="B40" s="1"/>
      <c r="C40" s="37"/>
      <c r="D40" s="26"/>
      <c r="E40" s="26"/>
      <c r="F40" s="26"/>
      <c r="G40" s="26"/>
      <c r="H40" s="26"/>
      <c r="I40" s="26"/>
      <c r="J40" s="26"/>
      <c r="K40" s="26"/>
      <c r="L40" s="26"/>
      <c r="M40" s="1"/>
    </row>
    <row r="41" spans="1:20">
      <c r="A41" s="1"/>
      <c r="B41" s="1"/>
      <c r="C41" s="37"/>
      <c r="D41" s="26"/>
      <c r="E41" s="26"/>
      <c r="F41" s="26"/>
      <c r="G41" s="26"/>
      <c r="H41" s="26"/>
      <c r="I41" s="26"/>
      <c r="J41" s="26"/>
      <c r="K41" s="26"/>
      <c r="L41" s="26"/>
      <c r="M41" s="1"/>
    </row>
    <row r="42" spans="1:20">
      <c r="A42" s="1"/>
      <c r="B42" s="1"/>
      <c r="C42" s="37"/>
      <c r="D42" s="26"/>
      <c r="E42" s="26"/>
      <c r="F42" s="26"/>
      <c r="G42" s="26"/>
      <c r="H42" s="26"/>
      <c r="I42" s="26"/>
      <c r="J42" s="26"/>
      <c r="K42" s="26"/>
      <c r="L42" s="26"/>
      <c r="M42" s="1"/>
    </row>
    <row r="43" spans="1:20">
      <c r="A43" s="1"/>
      <c r="B43" s="1"/>
      <c r="C43" s="37"/>
      <c r="D43" s="26"/>
      <c r="E43" s="26"/>
      <c r="F43" s="26"/>
      <c r="G43" s="26"/>
      <c r="H43" s="26"/>
      <c r="I43" s="26"/>
      <c r="J43" s="26"/>
      <c r="K43" s="26"/>
      <c r="L43" s="26"/>
      <c r="M43" s="1"/>
    </row>
    <row r="44" spans="1:20">
      <c r="A44" s="1"/>
      <c r="B44" s="1"/>
      <c r="C44" s="37"/>
      <c r="D44" s="1"/>
      <c r="I44" s="8"/>
      <c r="J44" s="8"/>
      <c r="K44" s="8"/>
      <c r="L44" s="8"/>
    </row>
    <row r="45" spans="1:20">
      <c r="A45" s="1"/>
      <c r="B45" s="1"/>
      <c r="C45" s="37"/>
      <c r="D45" s="1"/>
    </row>
    <row r="46" spans="1:20">
      <c r="A46" s="1"/>
      <c r="B46" s="1"/>
      <c r="C46" s="37"/>
      <c r="D46" s="1"/>
    </row>
    <row r="47" spans="1:20">
      <c r="A47" s="1"/>
      <c r="B47" s="1"/>
      <c r="C47" s="37"/>
      <c r="D47" s="1"/>
    </row>
    <row r="48" spans="1:20">
      <c r="A48" s="1"/>
      <c r="B48" s="1"/>
      <c r="C48" s="37"/>
      <c r="D48" s="1"/>
    </row>
    <row r="49" spans="1:4">
      <c r="A49" s="1"/>
      <c r="B49" s="1"/>
      <c r="C49" s="37"/>
      <c r="D49" s="1"/>
    </row>
    <row r="50" spans="1:4">
      <c r="A50" s="1"/>
      <c r="B50" s="1"/>
      <c r="C50" s="37"/>
      <c r="D50" s="1"/>
    </row>
    <row r="51" spans="1:4">
      <c r="A51" s="1"/>
      <c r="B51" s="1"/>
      <c r="C51" s="37"/>
      <c r="D51" s="1"/>
    </row>
    <row r="52" spans="1:4">
      <c r="A52" s="1"/>
      <c r="B52" s="1"/>
      <c r="C52" s="37"/>
      <c r="D52" s="1"/>
    </row>
    <row r="53" spans="1:4">
      <c r="A53" s="1"/>
      <c r="B53" s="1"/>
      <c r="C53" s="37"/>
      <c r="D53" s="1"/>
    </row>
    <row r="54" spans="1:4">
      <c r="A54" s="1"/>
      <c r="B54" s="1"/>
      <c r="C54" s="37"/>
      <c r="D54" s="1"/>
    </row>
    <row r="55" spans="1:4">
      <c r="A55" s="1"/>
      <c r="B55" s="1"/>
      <c r="C55" s="37"/>
      <c r="D55" s="1"/>
    </row>
    <row r="56" spans="1:4">
      <c r="A56" s="1"/>
      <c r="B56" s="1"/>
      <c r="C56" s="37"/>
      <c r="D56" s="1"/>
    </row>
    <row r="57" spans="1:4">
      <c r="A57" s="1"/>
      <c r="B57" s="1"/>
      <c r="C57" s="37"/>
      <c r="D57" s="1"/>
    </row>
    <row r="58" spans="1:4">
      <c r="A58" s="1"/>
      <c r="B58" s="1"/>
      <c r="C58" s="37"/>
      <c r="D58" s="1"/>
    </row>
    <row r="59" spans="1:4">
      <c r="A59" s="1"/>
      <c r="B59" s="1"/>
      <c r="C59" s="37"/>
      <c r="D59" s="1"/>
    </row>
    <row r="60" spans="1:4">
      <c r="A60" s="1"/>
      <c r="B60" s="1"/>
      <c r="C60" s="37"/>
      <c r="D60" s="1"/>
    </row>
    <row r="61" spans="1:4">
      <c r="A61" s="1"/>
      <c r="B61" s="1"/>
      <c r="C61" s="37"/>
      <c r="D61" s="1"/>
    </row>
    <row r="62" spans="1:4">
      <c r="A62" s="1"/>
      <c r="B62" s="1"/>
      <c r="C62" s="37"/>
      <c r="D62" s="1"/>
    </row>
    <row r="63" spans="1:4">
      <c r="A63" s="1"/>
      <c r="B63" s="1"/>
      <c r="C63" s="37"/>
      <c r="D63" s="1"/>
    </row>
    <row r="64" spans="1:4">
      <c r="A64" s="1"/>
      <c r="B64" s="1"/>
      <c r="C64" s="37"/>
      <c r="D64" s="1"/>
    </row>
    <row r="65" spans="1:4">
      <c r="A65" s="1"/>
      <c r="B65" s="1"/>
      <c r="C65" s="37"/>
      <c r="D65" s="1"/>
    </row>
    <row r="66" spans="1:4">
      <c r="A66" s="1"/>
      <c r="B66" s="1"/>
      <c r="C66" s="1"/>
    </row>
    <row r="67" spans="1:4">
      <c r="A67" s="1"/>
      <c r="B67" s="1"/>
      <c r="C67" s="1"/>
    </row>
    <row r="68" spans="1:4">
      <c r="A68" s="1"/>
      <c r="B68" s="1"/>
      <c r="C68" s="1"/>
    </row>
    <row r="69" spans="1:4">
      <c r="A69" s="1"/>
      <c r="B69" s="1"/>
      <c r="C69" s="1"/>
    </row>
    <row r="70" spans="1:4">
      <c r="A70" s="1"/>
      <c r="B70" s="1"/>
      <c r="C70" s="1"/>
    </row>
  </sheetData>
  <mergeCells count="15">
    <mergeCell ref="A1:B1"/>
    <mergeCell ref="E1:H1"/>
    <mergeCell ref="A2:D2"/>
    <mergeCell ref="A3:A5"/>
    <mergeCell ref="B3:B5"/>
    <mergeCell ref="C3:D4"/>
    <mergeCell ref="E3:J3"/>
    <mergeCell ref="A23:L23"/>
    <mergeCell ref="A30:L30"/>
    <mergeCell ref="K3:L4"/>
    <mergeCell ref="E4:F4"/>
    <mergeCell ref="G4:H4"/>
    <mergeCell ref="I4:J4"/>
    <mergeCell ref="A6:L6"/>
    <mergeCell ref="A12:L12"/>
  </mergeCells>
  <pageMargins left="0.32291666666666669" right="0.7" top="0.29166666666666669" bottom="0.44791666666666669" header="0.3" footer="0.3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70"/>
  <sheetViews>
    <sheetView topLeftCell="A7" zoomScaleNormal="100" workbookViewId="0">
      <selection activeCell="A18" sqref="A18:L18"/>
    </sheetView>
  </sheetViews>
  <sheetFormatPr defaultRowHeight="15"/>
  <cols>
    <col min="1" max="1" width="10.5703125" style="73" customWidth="1"/>
    <col min="2" max="2" width="37" style="73" customWidth="1"/>
    <col min="3" max="3" width="7.28515625" style="73" customWidth="1"/>
    <col min="4" max="4" width="9" style="73" customWidth="1"/>
    <col min="5" max="5" width="6.7109375" style="73" customWidth="1"/>
    <col min="6" max="6" width="6.85546875" style="73" customWidth="1"/>
    <col min="7" max="7" width="6.42578125" style="73" customWidth="1"/>
    <col min="8" max="8" width="6.5703125" style="73" customWidth="1"/>
    <col min="9" max="9" width="7.5703125" style="73" customWidth="1"/>
    <col min="10" max="10" width="7.42578125" style="73" customWidth="1"/>
    <col min="11" max="11" width="9.7109375" style="73" customWidth="1"/>
    <col min="12" max="12" width="9.42578125" style="73" customWidth="1"/>
    <col min="13" max="13" width="9" style="73" customWidth="1"/>
    <col min="14" max="14" width="7.28515625" style="73" customWidth="1"/>
    <col min="15" max="18" width="9.140625" style="73"/>
    <col min="19" max="19" width="19.7109375" style="73" customWidth="1"/>
    <col min="20" max="20" width="7.7109375" style="73" customWidth="1"/>
    <col min="21" max="21" width="9.140625" style="73"/>
    <col min="22" max="22" width="7.7109375" style="73" customWidth="1"/>
    <col min="23" max="16384" width="9.140625" style="73"/>
  </cols>
  <sheetData>
    <row r="1" spans="1:24" ht="15.75">
      <c r="A1" s="107" t="s">
        <v>122</v>
      </c>
      <c r="B1" s="107"/>
      <c r="C1" s="60"/>
      <c r="D1" s="60"/>
      <c r="E1" s="108" t="s">
        <v>170</v>
      </c>
      <c r="F1" s="108"/>
      <c r="G1" s="108"/>
      <c r="H1" s="108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5.75">
      <c r="A2" s="109" t="s">
        <v>123</v>
      </c>
      <c r="B2" s="109"/>
      <c r="C2" s="109"/>
      <c r="D2" s="109"/>
      <c r="E2" s="85" t="s">
        <v>169</v>
      </c>
      <c r="F2" s="85"/>
      <c r="G2" s="85"/>
      <c r="H2" s="85"/>
      <c r="I2" s="61"/>
      <c r="J2" s="61"/>
      <c r="K2" s="61"/>
      <c r="L2" s="61"/>
      <c r="M2" s="36"/>
      <c r="N2" s="36"/>
      <c r="O2" s="1"/>
      <c r="P2" s="1"/>
      <c r="Q2" s="1"/>
      <c r="R2" s="1"/>
      <c r="S2" s="36"/>
      <c r="T2" s="36"/>
      <c r="U2" s="1"/>
      <c r="V2" s="1"/>
      <c r="W2" s="1"/>
      <c r="X2" s="1"/>
    </row>
    <row r="3" spans="1:24" ht="15" customHeight="1">
      <c r="A3" s="110" t="s">
        <v>0</v>
      </c>
      <c r="B3" s="113" t="s">
        <v>1</v>
      </c>
      <c r="C3" s="116" t="s">
        <v>8</v>
      </c>
      <c r="D3" s="117"/>
      <c r="E3" s="103" t="s">
        <v>9</v>
      </c>
      <c r="F3" s="103"/>
      <c r="G3" s="103"/>
      <c r="H3" s="103"/>
      <c r="I3" s="103"/>
      <c r="J3" s="103"/>
      <c r="K3" s="102" t="s">
        <v>7</v>
      </c>
      <c r="L3" s="102"/>
      <c r="M3" s="1"/>
      <c r="N3" s="37"/>
      <c r="O3" s="40"/>
      <c r="P3" s="40"/>
      <c r="Q3" s="40"/>
      <c r="R3" s="40"/>
      <c r="S3" s="1"/>
      <c r="T3" s="37"/>
      <c r="U3" s="40"/>
      <c r="V3" s="40"/>
      <c r="W3" s="40"/>
      <c r="X3" s="40"/>
    </row>
    <row r="4" spans="1:24">
      <c r="A4" s="111"/>
      <c r="B4" s="114"/>
      <c r="C4" s="116"/>
      <c r="D4" s="117"/>
      <c r="E4" s="103" t="s">
        <v>5</v>
      </c>
      <c r="F4" s="103"/>
      <c r="G4" s="102" t="s">
        <v>4</v>
      </c>
      <c r="H4" s="102"/>
      <c r="I4" s="103" t="s">
        <v>6</v>
      </c>
      <c r="J4" s="103"/>
      <c r="K4" s="102"/>
      <c r="L4" s="102"/>
      <c r="M4" s="1"/>
      <c r="N4" s="37"/>
      <c r="O4" s="40"/>
      <c r="P4" s="40"/>
      <c r="Q4" s="40"/>
      <c r="R4" s="40"/>
      <c r="S4" s="1"/>
      <c r="T4" s="37"/>
      <c r="U4" s="40"/>
      <c r="V4" s="40"/>
      <c r="W4" s="40"/>
      <c r="X4" s="40"/>
    </row>
    <row r="5" spans="1:24" ht="63">
      <c r="A5" s="112"/>
      <c r="B5" s="115"/>
      <c r="C5" s="75" t="s">
        <v>128</v>
      </c>
      <c r="D5" s="76" t="s">
        <v>127</v>
      </c>
      <c r="E5" s="75" t="s">
        <v>128</v>
      </c>
      <c r="F5" s="76" t="s">
        <v>127</v>
      </c>
      <c r="G5" s="75" t="s">
        <v>128</v>
      </c>
      <c r="H5" s="76" t="s">
        <v>127</v>
      </c>
      <c r="I5" s="75" t="s">
        <v>128</v>
      </c>
      <c r="J5" s="76" t="s">
        <v>127</v>
      </c>
      <c r="K5" s="75" t="s">
        <v>128</v>
      </c>
      <c r="L5" s="77" t="s">
        <v>127</v>
      </c>
      <c r="M5" s="1"/>
      <c r="N5" s="37"/>
      <c r="O5" s="40"/>
      <c r="P5" s="40"/>
      <c r="Q5" s="40"/>
      <c r="R5" s="40"/>
      <c r="S5" s="1"/>
      <c r="T5" s="37"/>
      <c r="U5" s="40"/>
      <c r="V5" s="40"/>
      <c r="W5" s="40"/>
      <c r="X5" s="40"/>
    </row>
    <row r="6" spans="1:24">
      <c r="A6" s="99" t="s">
        <v>10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1"/>
      <c r="M6" s="1"/>
      <c r="N6" s="37"/>
      <c r="O6" s="40"/>
      <c r="P6" s="40"/>
      <c r="Q6" s="40"/>
      <c r="R6" s="40"/>
      <c r="S6" s="1"/>
      <c r="T6" s="37"/>
      <c r="U6" s="40"/>
      <c r="V6" s="40"/>
      <c r="W6" s="40"/>
      <c r="X6" s="40"/>
    </row>
    <row r="7" spans="1:24">
      <c r="A7" s="47" t="s">
        <v>249</v>
      </c>
      <c r="B7" s="74" t="s">
        <v>250</v>
      </c>
      <c r="C7" s="15">
        <v>160</v>
      </c>
      <c r="D7" s="18">
        <v>200</v>
      </c>
      <c r="E7" s="13">
        <f>C7*3.4/100</f>
        <v>5.44</v>
      </c>
      <c r="F7" s="17">
        <f>D7*3.4/100</f>
        <v>6.8</v>
      </c>
      <c r="G7" s="13">
        <f>C7*4.5/100</f>
        <v>7.2</v>
      </c>
      <c r="H7" s="17">
        <f>D7*4.5/100</f>
        <v>9</v>
      </c>
      <c r="I7" s="13">
        <f>C7*16.6/100</f>
        <v>26.56</v>
      </c>
      <c r="J7" s="17">
        <f>D7*16.6/100</f>
        <v>33.200000000000003</v>
      </c>
      <c r="K7" s="13">
        <f t="shared" ref="K7:L11" si="0">E7*4+G7*9+I7*4</f>
        <v>192.8</v>
      </c>
      <c r="L7" s="17">
        <f t="shared" si="0"/>
        <v>241</v>
      </c>
      <c r="M7" s="1"/>
      <c r="N7" s="37"/>
      <c r="O7" s="40"/>
      <c r="P7" s="40"/>
      <c r="Q7" s="40"/>
      <c r="R7" s="40"/>
      <c r="S7" s="1"/>
      <c r="T7" s="37"/>
      <c r="U7" s="40"/>
      <c r="V7" s="40"/>
      <c r="W7" s="40"/>
      <c r="X7" s="40"/>
    </row>
    <row r="8" spans="1:24">
      <c r="A8" s="65"/>
      <c r="B8" s="2" t="s">
        <v>2</v>
      </c>
      <c r="C8" s="14">
        <v>30</v>
      </c>
      <c r="D8" s="21">
        <v>40</v>
      </c>
      <c r="E8" s="14">
        <f>C8*7.5/100</f>
        <v>2.25</v>
      </c>
      <c r="F8" s="27">
        <f>D8*7.5/100</f>
        <v>3</v>
      </c>
      <c r="G8" s="13">
        <f>C8*2.9/100</f>
        <v>0.87</v>
      </c>
      <c r="H8" s="18">
        <f>D8*2.9/100</f>
        <v>1.1599999999999999</v>
      </c>
      <c r="I8" s="15">
        <f>C8*51.4/100</f>
        <v>15.42</v>
      </c>
      <c r="J8" s="18">
        <f>D8*51.4/100</f>
        <v>20.56</v>
      </c>
      <c r="K8" s="15">
        <f t="shared" si="0"/>
        <v>78.509999999999991</v>
      </c>
      <c r="L8" s="18">
        <f t="shared" si="0"/>
        <v>104.67999999999999</v>
      </c>
      <c r="M8" s="1"/>
      <c r="N8" s="37"/>
      <c r="O8" s="40"/>
      <c r="P8" s="40"/>
      <c r="Q8" s="40"/>
      <c r="R8" s="40"/>
      <c r="S8" s="1"/>
      <c r="T8" s="37"/>
      <c r="U8" s="40"/>
      <c r="V8" s="40"/>
      <c r="W8" s="40"/>
      <c r="X8" s="40"/>
    </row>
    <row r="9" spans="1:24">
      <c r="A9" s="81" t="s">
        <v>156</v>
      </c>
      <c r="B9" s="4" t="s">
        <v>155</v>
      </c>
      <c r="C9" s="15">
        <v>10</v>
      </c>
      <c r="D9" s="22">
        <v>10</v>
      </c>
      <c r="E9" s="15">
        <f>C9*2.32/10</f>
        <v>2.3199999999999998</v>
      </c>
      <c r="F9" s="18">
        <f>D9*2.31/10</f>
        <v>2.31</v>
      </c>
      <c r="G9" s="13">
        <f>C9*2.96/10</f>
        <v>2.96</v>
      </c>
      <c r="H9" s="17">
        <f>D9*2.96/10</f>
        <v>2.96</v>
      </c>
      <c r="I9" s="24">
        <f>C9*0/10</f>
        <v>0</v>
      </c>
      <c r="J9" s="19">
        <f>D9*0/10</f>
        <v>0</v>
      </c>
      <c r="K9" s="13">
        <f t="shared" si="0"/>
        <v>35.92</v>
      </c>
      <c r="L9" s="17">
        <f t="shared" si="0"/>
        <v>35.880000000000003</v>
      </c>
      <c r="M9" s="1"/>
      <c r="N9" s="37"/>
      <c r="O9" s="40"/>
      <c r="P9" s="40"/>
      <c r="Q9" s="40"/>
      <c r="R9" s="40"/>
      <c r="S9" s="1"/>
      <c r="T9" s="37"/>
      <c r="U9" s="40"/>
      <c r="V9" s="40"/>
      <c r="W9" s="40"/>
      <c r="X9" s="40"/>
    </row>
    <row r="10" spans="1:24">
      <c r="A10" s="47" t="s">
        <v>158</v>
      </c>
      <c r="B10" s="2" t="s">
        <v>25</v>
      </c>
      <c r="C10" s="15">
        <v>200</v>
      </c>
      <c r="D10" s="18">
        <v>200</v>
      </c>
      <c r="E10" s="13">
        <f>C10*2.7/200</f>
        <v>2.7</v>
      </c>
      <c r="F10" s="17">
        <f>D10*2.7/200</f>
        <v>2.7</v>
      </c>
      <c r="G10" s="13">
        <f>C10*2.8/200</f>
        <v>2.8</v>
      </c>
      <c r="H10" s="17">
        <f>D10*2.8/200</f>
        <v>2.8</v>
      </c>
      <c r="I10" s="13">
        <f>C10*22.4/200</f>
        <v>22.4</v>
      </c>
      <c r="J10" s="17">
        <f>D10*22.4/200</f>
        <v>22.4</v>
      </c>
      <c r="K10" s="13">
        <f t="shared" si="0"/>
        <v>125.6</v>
      </c>
      <c r="L10" s="17">
        <f t="shared" si="0"/>
        <v>125.6</v>
      </c>
      <c r="M10" s="1"/>
      <c r="N10" s="37"/>
      <c r="O10" s="40"/>
      <c r="P10" s="40"/>
      <c r="Q10" s="40"/>
      <c r="R10" s="40"/>
      <c r="S10" s="1"/>
      <c r="T10" s="37"/>
      <c r="U10" s="40"/>
      <c r="V10" s="40"/>
      <c r="W10" s="40"/>
      <c r="X10" s="40"/>
    </row>
    <row r="11" spans="1:24">
      <c r="A11" s="64"/>
      <c r="B11" s="7" t="s">
        <v>19</v>
      </c>
      <c r="C11" s="62">
        <f t="shared" ref="C11:J11" si="1">SUM(C7:C10)</f>
        <v>400</v>
      </c>
      <c r="D11" s="23">
        <f t="shared" si="1"/>
        <v>450</v>
      </c>
      <c r="E11" s="10">
        <f t="shared" si="1"/>
        <v>12.71</v>
      </c>
      <c r="F11" s="16">
        <f t="shared" si="1"/>
        <v>14.810000000000002</v>
      </c>
      <c r="G11" s="10">
        <f t="shared" si="1"/>
        <v>13.830000000000002</v>
      </c>
      <c r="H11" s="16">
        <f t="shared" si="1"/>
        <v>15.920000000000002</v>
      </c>
      <c r="I11" s="10">
        <f t="shared" si="1"/>
        <v>64.38</v>
      </c>
      <c r="J11" s="16">
        <f t="shared" si="1"/>
        <v>76.16</v>
      </c>
      <c r="K11" s="10">
        <f t="shared" si="0"/>
        <v>432.83</v>
      </c>
      <c r="L11" s="16">
        <f t="shared" si="0"/>
        <v>507.16</v>
      </c>
      <c r="M11" s="1"/>
      <c r="N11" s="37"/>
      <c r="O11" s="40"/>
      <c r="P11" s="40"/>
      <c r="Q11" s="40"/>
      <c r="R11" s="40"/>
      <c r="S11" s="1"/>
      <c r="T11" s="37"/>
      <c r="U11" s="40"/>
      <c r="V11" s="40"/>
      <c r="W11" s="40"/>
      <c r="X11" s="40"/>
    </row>
    <row r="12" spans="1:24">
      <c r="A12" s="104" t="s">
        <v>11</v>
      </c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06"/>
      <c r="M12" s="1"/>
      <c r="N12" s="37"/>
      <c r="O12" s="40"/>
      <c r="P12" s="40"/>
      <c r="Q12" s="40"/>
      <c r="R12" s="40"/>
      <c r="S12" s="1"/>
      <c r="T12" s="37"/>
      <c r="U12" s="40"/>
      <c r="V12" s="40"/>
      <c r="W12" s="40"/>
      <c r="X12" s="40"/>
    </row>
    <row r="13" spans="1:24" ht="26.25">
      <c r="A13" s="47" t="s">
        <v>168</v>
      </c>
      <c r="B13" s="82" t="s">
        <v>159</v>
      </c>
      <c r="C13" s="14">
        <v>60</v>
      </c>
      <c r="D13" s="54">
        <v>100</v>
      </c>
      <c r="E13" s="83">
        <f>C13*9.07/100</f>
        <v>5.4420000000000002</v>
      </c>
      <c r="F13" s="84">
        <f>D13*9.07/100</f>
        <v>9.07</v>
      </c>
      <c r="G13" s="83">
        <f>C13*12.32/100</f>
        <v>7.3920000000000003</v>
      </c>
      <c r="H13" s="84">
        <f>D13*12.32/100</f>
        <v>12.32</v>
      </c>
      <c r="I13" s="83">
        <f>C13*8.38/100</f>
        <v>5.0280000000000005</v>
      </c>
      <c r="J13" s="84">
        <f>D13*8.38/100</f>
        <v>8.3800000000000008</v>
      </c>
      <c r="K13" s="83">
        <f t="shared" ref="K13:L28" si="2">E13*4+G13*9+I13*4</f>
        <v>108.40800000000002</v>
      </c>
      <c r="L13" s="84">
        <f t="shared" si="2"/>
        <v>180.68</v>
      </c>
      <c r="M13" s="1"/>
      <c r="N13" s="37"/>
      <c r="O13" s="40"/>
      <c r="P13" s="40"/>
      <c r="Q13" s="40"/>
      <c r="R13" s="40"/>
      <c r="S13" s="1"/>
      <c r="T13" s="37"/>
      <c r="U13" s="40"/>
      <c r="V13" s="40"/>
      <c r="W13" s="40"/>
      <c r="X13" s="40"/>
    </row>
    <row r="14" spans="1:24">
      <c r="A14" s="47" t="s">
        <v>160</v>
      </c>
      <c r="B14" s="2" t="s">
        <v>13</v>
      </c>
      <c r="C14" s="15">
        <v>200</v>
      </c>
      <c r="D14" s="25">
        <v>250</v>
      </c>
      <c r="E14" s="13">
        <f>C14*0.84/100</f>
        <v>1.68</v>
      </c>
      <c r="F14" s="17">
        <f>D14*0.84/100</f>
        <v>2.1</v>
      </c>
      <c r="G14" s="13">
        <f>C14*2.05/100</f>
        <v>4.0999999999999996</v>
      </c>
      <c r="H14" s="17">
        <f>D14*2.05/100</f>
        <v>5.125</v>
      </c>
      <c r="I14" s="13">
        <f>C14*6.64/100</f>
        <v>13.28</v>
      </c>
      <c r="J14" s="17">
        <f>D14*6.64/100</f>
        <v>16.600000000000001</v>
      </c>
      <c r="K14" s="13">
        <f t="shared" si="2"/>
        <v>96.74</v>
      </c>
      <c r="L14" s="17">
        <f t="shared" si="2"/>
        <v>120.92500000000001</v>
      </c>
      <c r="M14" s="1"/>
      <c r="N14" s="37"/>
      <c r="O14" s="40"/>
      <c r="P14" s="40"/>
      <c r="Q14" s="40"/>
      <c r="R14" s="40"/>
      <c r="S14" s="1"/>
      <c r="T14" s="37"/>
      <c r="U14" s="40"/>
      <c r="V14" s="40"/>
      <c r="W14" s="40"/>
      <c r="X14" s="40"/>
    </row>
    <row r="15" spans="1:24">
      <c r="A15" s="47"/>
      <c r="B15" s="5" t="s">
        <v>161</v>
      </c>
      <c r="C15" s="15">
        <v>10</v>
      </c>
      <c r="D15" s="18">
        <v>10</v>
      </c>
      <c r="E15" s="15">
        <f>C15*2.6/100</f>
        <v>0.26</v>
      </c>
      <c r="F15" s="18">
        <f>D15*2.6/100</f>
        <v>0.26</v>
      </c>
      <c r="G15" s="13">
        <f>C15*15/100</f>
        <v>1.5</v>
      </c>
      <c r="H15" s="17">
        <f>D15*15/100</f>
        <v>1.5</v>
      </c>
      <c r="I15" s="15">
        <f>C15*3.6/100</f>
        <v>0.36</v>
      </c>
      <c r="J15" s="18">
        <f>D15*3.6/100</f>
        <v>0.36</v>
      </c>
      <c r="K15" s="13">
        <f t="shared" si="2"/>
        <v>15.979999999999999</v>
      </c>
      <c r="L15" s="17">
        <f t="shared" si="2"/>
        <v>15.979999999999999</v>
      </c>
      <c r="M15" s="32"/>
      <c r="N15" s="32"/>
      <c r="O15" s="40"/>
      <c r="P15" s="40"/>
      <c r="Q15" s="40"/>
      <c r="R15" s="40"/>
      <c r="S15" s="1"/>
      <c r="T15" s="37"/>
      <c r="U15" s="40"/>
      <c r="V15" s="40"/>
      <c r="W15" s="40"/>
      <c r="X15" s="40"/>
    </row>
    <row r="16" spans="1:24">
      <c r="A16" s="47" t="s">
        <v>162</v>
      </c>
      <c r="B16" s="74" t="s">
        <v>26</v>
      </c>
      <c r="C16" s="15">
        <v>150</v>
      </c>
      <c r="D16" s="18">
        <v>180</v>
      </c>
      <c r="E16" s="13">
        <f>C16*3.02/150</f>
        <v>3.02</v>
      </c>
      <c r="F16" s="17">
        <f>D16*3.02/150</f>
        <v>3.6240000000000001</v>
      </c>
      <c r="G16" s="15">
        <f>C16*5.66/150</f>
        <v>5.66</v>
      </c>
      <c r="H16" s="17">
        <f>D16*5.66/150</f>
        <v>6.7920000000000007</v>
      </c>
      <c r="I16" s="13">
        <f>C16*10.14/150</f>
        <v>10.14</v>
      </c>
      <c r="J16" s="17">
        <f>D16*10.14/150</f>
        <v>12.168000000000001</v>
      </c>
      <c r="K16" s="13">
        <f t="shared" si="2"/>
        <v>103.58</v>
      </c>
      <c r="L16" s="17">
        <f t="shared" si="2"/>
        <v>124.29600000000002</v>
      </c>
      <c r="M16" s="1"/>
      <c r="N16" s="37"/>
      <c r="O16" s="40"/>
      <c r="P16" s="40"/>
      <c r="Q16" s="40"/>
      <c r="R16" s="40"/>
      <c r="S16" s="1"/>
      <c r="T16" s="37"/>
      <c r="U16" s="40"/>
      <c r="V16" s="40"/>
      <c r="W16" s="40"/>
      <c r="X16" s="40"/>
    </row>
    <row r="17" spans="1:24">
      <c r="A17" s="47" t="s">
        <v>164</v>
      </c>
      <c r="B17" s="2" t="s">
        <v>163</v>
      </c>
      <c r="C17" s="15">
        <v>100</v>
      </c>
      <c r="D17" s="18">
        <v>100</v>
      </c>
      <c r="E17" s="13">
        <f>C17*6.96/110</f>
        <v>6.3272727272727272</v>
      </c>
      <c r="F17" s="17">
        <f>D17*6.96/110</f>
        <v>6.3272727272727272</v>
      </c>
      <c r="G17" s="13">
        <f>C17*16.11/110</f>
        <v>14.645454545454545</v>
      </c>
      <c r="H17" s="17">
        <f>D17*16.11/110</f>
        <v>14.645454545454545</v>
      </c>
      <c r="I17" s="13">
        <f>C17*11.61/110</f>
        <v>10.554545454545455</v>
      </c>
      <c r="J17" s="17">
        <f>D17*11.61/110</f>
        <v>10.554545454545455</v>
      </c>
      <c r="K17" s="13">
        <f t="shared" si="2"/>
        <v>199.33636363636364</v>
      </c>
      <c r="L17" s="17">
        <f t="shared" si="2"/>
        <v>199.33636363636364</v>
      </c>
      <c r="M17" s="1"/>
      <c r="N17" s="37"/>
      <c r="O17" s="40"/>
      <c r="P17" s="40"/>
      <c r="Q17" s="40"/>
      <c r="R17" s="40"/>
      <c r="S17" s="1"/>
      <c r="T17" s="37"/>
      <c r="U17" s="40"/>
      <c r="V17" s="40"/>
      <c r="W17" s="40"/>
      <c r="X17" s="40"/>
    </row>
    <row r="18" spans="1:24">
      <c r="A18" s="47" t="s">
        <v>186</v>
      </c>
      <c r="B18" s="2" t="s">
        <v>185</v>
      </c>
      <c r="C18" s="15">
        <v>200</v>
      </c>
      <c r="D18" s="18">
        <v>200</v>
      </c>
      <c r="E18" s="13">
        <f>C18*0.06/200</f>
        <v>0.06</v>
      </c>
      <c r="F18" s="17">
        <f>D18*0.06/200</f>
        <v>0.06</v>
      </c>
      <c r="G18" s="13">
        <f>C18*0/50</f>
        <v>0</v>
      </c>
      <c r="H18" s="17">
        <f>D18*0/50</f>
        <v>0</v>
      </c>
      <c r="I18" s="13">
        <f>C18*31.4/200</f>
        <v>31.4</v>
      </c>
      <c r="J18" s="17">
        <f>D18*31.4/200</f>
        <v>31.4</v>
      </c>
      <c r="K18" s="13">
        <f t="shared" si="2"/>
        <v>125.83999999999999</v>
      </c>
      <c r="L18" s="17">
        <f t="shared" si="2"/>
        <v>125.83999999999999</v>
      </c>
      <c r="M18" s="1"/>
      <c r="N18" s="37"/>
      <c r="O18" s="40"/>
      <c r="P18" s="40"/>
      <c r="Q18" s="40"/>
      <c r="R18" s="40"/>
      <c r="S18" s="1"/>
      <c r="T18" s="37"/>
      <c r="U18" s="40"/>
      <c r="V18" s="40"/>
      <c r="W18" s="40"/>
      <c r="X18" s="40"/>
    </row>
    <row r="19" spans="1:24">
      <c r="A19" s="65"/>
      <c r="B19" s="5" t="s">
        <v>217</v>
      </c>
      <c r="C19" s="15">
        <v>30</v>
      </c>
      <c r="D19" s="18">
        <v>40</v>
      </c>
      <c r="E19" s="13">
        <f>C19*6.6/100</f>
        <v>1.98</v>
      </c>
      <c r="F19" s="17">
        <f>D19*6.6/100</f>
        <v>2.64</v>
      </c>
      <c r="G19" s="13">
        <f>C19*1.1/100</f>
        <v>0.33</v>
      </c>
      <c r="H19" s="17">
        <f>D19*1.1/100</f>
        <v>0.44</v>
      </c>
      <c r="I19" s="13">
        <f>C19*43.9/100</f>
        <v>13.17</v>
      </c>
      <c r="J19" s="17">
        <f>D19*43.9/100</f>
        <v>17.559999999999999</v>
      </c>
      <c r="K19" s="13">
        <f t="shared" si="2"/>
        <v>63.57</v>
      </c>
      <c r="L19" s="17">
        <f t="shared" si="2"/>
        <v>84.759999999999991</v>
      </c>
      <c r="M19" s="1"/>
      <c r="N19" s="37"/>
      <c r="O19" s="40"/>
      <c r="P19" s="40"/>
      <c r="Q19" s="40"/>
      <c r="R19" s="40"/>
      <c r="S19" s="1"/>
      <c r="T19" s="37"/>
      <c r="U19" s="40"/>
      <c r="V19" s="40"/>
      <c r="W19" s="40"/>
      <c r="X19" s="40"/>
    </row>
    <row r="20" spans="1:24">
      <c r="A20" s="65"/>
      <c r="B20" s="5" t="s">
        <v>216</v>
      </c>
      <c r="C20" s="15">
        <v>30</v>
      </c>
      <c r="D20" s="18">
        <v>40</v>
      </c>
      <c r="E20" s="13">
        <f>C20*7.7/100</f>
        <v>2.31</v>
      </c>
      <c r="F20" s="17">
        <f>D20*7.7/100</f>
        <v>3.08</v>
      </c>
      <c r="G20" s="13">
        <f>C20*0.8/100</f>
        <v>0.24</v>
      </c>
      <c r="H20" s="17">
        <f>D20*0.8/100</f>
        <v>0.32</v>
      </c>
      <c r="I20" s="13">
        <f>C20*49.5/100</f>
        <v>14.85</v>
      </c>
      <c r="J20" s="17">
        <f>D20*49.5/100</f>
        <v>19.8</v>
      </c>
      <c r="K20" s="13">
        <f t="shared" si="2"/>
        <v>70.8</v>
      </c>
      <c r="L20" s="17">
        <f t="shared" si="2"/>
        <v>94.4</v>
      </c>
      <c r="M20" s="1"/>
      <c r="N20" s="37"/>
      <c r="O20" s="40"/>
      <c r="P20" s="40"/>
      <c r="Q20" s="40"/>
      <c r="R20" s="40"/>
      <c r="S20" s="1"/>
      <c r="T20" s="37"/>
      <c r="U20" s="40"/>
      <c r="V20" s="40"/>
      <c r="W20" s="40"/>
      <c r="X20" s="40"/>
    </row>
    <row r="21" spans="1:24">
      <c r="A21" s="65"/>
      <c r="B21" s="5" t="s">
        <v>248</v>
      </c>
      <c r="C21" s="15">
        <v>100</v>
      </c>
      <c r="D21" s="18">
        <v>100</v>
      </c>
      <c r="E21" s="13">
        <v>0.4</v>
      </c>
      <c r="F21" s="17">
        <v>0.4</v>
      </c>
      <c r="G21" s="13">
        <v>0.4</v>
      </c>
      <c r="H21" s="17">
        <v>0.4</v>
      </c>
      <c r="I21" s="13">
        <v>9.8000000000000007</v>
      </c>
      <c r="J21" s="17">
        <v>9.8000000000000007</v>
      </c>
      <c r="K21" s="13">
        <f t="shared" ref="K21" si="3">E21*4+G21*9+I21*4</f>
        <v>44.400000000000006</v>
      </c>
      <c r="L21" s="17">
        <f t="shared" ref="L21" si="4">F21*4+H21*9+J21*4</f>
        <v>44.400000000000006</v>
      </c>
      <c r="M21" s="1"/>
      <c r="N21" s="37"/>
      <c r="O21" s="40"/>
      <c r="P21" s="40"/>
      <c r="Q21" s="40"/>
      <c r="R21" s="40"/>
      <c r="S21" s="1"/>
      <c r="T21" s="37"/>
      <c r="U21" s="40"/>
      <c r="V21" s="40"/>
      <c r="W21" s="40"/>
      <c r="X21" s="40"/>
    </row>
    <row r="22" spans="1:24">
      <c r="A22" s="65"/>
      <c r="B22" s="7" t="s">
        <v>20</v>
      </c>
      <c r="C22" s="62">
        <f t="shared" ref="C22:L22" si="5">SUM(C13:C21)</f>
        <v>880</v>
      </c>
      <c r="D22" s="28">
        <f t="shared" si="5"/>
        <v>1020</v>
      </c>
      <c r="E22" s="62">
        <f t="shared" si="5"/>
        <v>21.479272727272722</v>
      </c>
      <c r="F22" s="16">
        <f t="shared" si="5"/>
        <v>27.561272727272723</v>
      </c>
      <c r="G22" s="62">
        <f t="shared" si="5"/>
        <v>34.267454545454541</v>
      </c>
      <c r="H22" s="16">
        <f t="shared" si="5"/>
        <v>41.542454545454547</v>
      </c>
      <c r="I22" s="62">
        <f t="shared" si="5"/>
        <v>108.58254545454545</v>
      </c>
      <c r="J22" s="16">
        <f t="shared" si="5"/>
        <v>126.62254545454545</v>
      </c>
      <c r="K22" s="10">
        <f t="shared" si="5"/>
        <v>828.65436363636366</v>
      </c>
      <c r="L22" s="16">
        <f t="shared" si="5"/>
        <v>990.61736363636373</v>
      </c>
      <c r="M22" s="1"/>
      <c r="N22" s="37"/>
      <c r="O22" s="40"/>
      <c r="P22" s="40"/>
      <c r="Q22" s="40"/>
      <c r="R22" s="40"/>
      <c r="S22" s="1"/>
      <c r="T22" s="37"/>
      <c r="U22" s="40"/>
      <c r="V22" s="40"/>
      <c r="W22" s="40"/>
      <c r="X22" s="40"/>
    </row>
    <row r="23" spans="1:24">
      <c r="A23" s="99"/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1"/>
      <c r="M23" s="1"/>
      <c r="N23" s="37"/>
      <c r="O23" s="40"/>
      <c r="P23" s="40"/>
      <c r="Q23" s="40"/>
      <c r="R23" s="40"/>
      <c r="S23" s="1"/>
      <c r="T23" s="37"/>
      <c r="U23" s="40"/>
      <c r="V23" s="40"/>
      <c r="W23" s="40"/>
      <c r="X23" s="40"/>
    </row>
    <row r="24" spans="1:24">
      <c r="A24" s="29"/>
      <c r="B24" s="30" t="s">
        <v>16</v>
      </c>
      <c r="C24" s="31"/>
      <c r="D24" s="31"/>
      <c r="E24" s="33">
        <f t="shared" ref="E24:L24" si="6">E11+E22</f>
        <v>34.189272727272723</v>
      </c>
      <c r="F24" s="34">
        <f t="shared" si="6"/>
        <v>42.371272727272725</v>
      </c>
      <c r="G24" s="33">
        <f t="shared" si="6"/>
        <v>48.097454545454539</v>
      </c>
      <c r="H24" s="34">
        <f t="shared" si="6"/>
        <v>57.462454545454548</v>
      </c>
      <c r="I24" s="33">
        <f t="shared" si="6"/>
        <v>172.96254545454545</v>
      </c>
      <c r="J24" s="34">
        <f t="shared" si="6"/>
        <v>202.78254545454544</v>
      </c>
      <c r="K24" s="33">
        <f t="shared" si="6"/>
        <v>1261.4843636363637</v>
      </c>
      <c r="L24" s="34">
        <f t="shared" si="6"/>
        <v>1497.7773636363638</v>
      </c>
      <c r="M24" s="1"/>
      <c r="N24" s="37"/>
      <c r="O24" s="40"/>
      <c r="P24" s="40"/>
      <c r="Q24" s="40"/>
      <c r="R24" s="40"/>
      <c r="S24" s="1"/>
      <c r="T24" s="37"/>
      <c r="U24" s="40"/>
      <c r="V24" s="40"/>
      <c r="W24" s="40"/>
      <c r="X24" s="40"/>
    </row>
    <row r="25" spans="1:24">
      <c r="A25" s="65"/>
      <c r="B25" s="39" t="s">
        <v>30</v>
      </c>
      <c r="C25" s="38"/>
      <c r="D25" s="38"/>
      <c r="E25" s="79">
        <v>46.2</v>
      </c>
      <c r="F25" s="80">
        <v>54</v>
      </c>
      <c r="G25" s="79">
        <v>47.4</v>
      </c>
      <c r="H25" s="79">
        <v>55.2</v>
      </c>
      <c r="I25" s="80">
        <v>201</v>
      </c>
      <c r="J25" s="79">
        <v>229.8</v>
      </c>
      <c r="K25" s="80">
        <v>1410</v>
      </c>
      <c r="L25" s="80">
        <v>1632</v>
      </c>
      <c r="M25" s="1"/>
      <c r="N25" s="37"/>
      <c r="O25" s="40"/>
      <c r="P25" s="40"/>
      <c r="Q25" s="40"/>
      <c r="R25" s="40"/>
      <c r="S25" s="1"/>
      <c r="T25" s="37"/>
      <c r="U25" s="40"/>
      <c r="V25" s="40"/>
      <c r="W25" s="40"/>
      <c r="X25" s="40"/>
    </row>
    <row r="26" spans="1:24">
      <c r="A26" s="99" t="s">
        <v>35</v>
      </c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1"/>
      <c r="M26" s="1"/>
      <c r="N26" s="37"/>
      <c r="O26" s="40"/>
      <c r="P26" s="40"/>
      <c r="Q26" s="40"/>
      <c r="R26" s="40"/>
      <c r="S26" s="1"/>
      <c r="T26" s="37"/>
      <c r="U26" s="40"/>
      <c r="V26" s="40"/>
      <c r="W26" s="40"/>
      <c r="X26" s="40"/>
    </row>
    <row r="27" spans="1:24">
      <c r="A27" s="47" t="s">
        <v>167</v>
      </c>
      <c r="B27" s="2" t="s">
        <v>166</v>
      </c>
      <c r="C27" s="15">
        <v>75</v>
      </c>
      <c r="D27" s="18">
        <v>75</v>
      </c>
      <c r="E27" s="13">
        <f>C27*4.46/75</f>
        <v>4.46</v>
      </c>
      <c r="F27" s="17">
        <f>D27*4.46/75</f>
        <v>4.46</v>
      </c>
      <c r="G27" s="13">
        <f>C27*2.98/75</f>
        <v>2.98</v>
      </c>
      <c r="H27" s="17">
        <f>D27*2.98/75</f>
        <v>2.98</v>
      </c>
      <c r="I27" s="13">
        <f>C27*44.12/75</f>
        <v>44.12</v>
      </c>
      <c r="J27" s="17">
        <f>D27*44.12/75</f>
        <v>44.12</v>
      </c>
      <c r="K27" s="13">
        <f t="shared" si="2"/>
        <v>221.14</v>
      </c>
      <c r="L27" s="17">
        <f t="shared" si="2"/>
        <v>221.14</v>
      </c>
      <c r="M27" s="1"/>
      <c r="N27" s="37"/>
      <c r="O27" s="40"/>
      <c r="P27" s="40"/>
      <c r="Q27" s="40"/>
      <c r="R27" s="40"/>
      <c r="S27" s="1"/>
      <c r="T27" s="37"/>
      <c r="U27" s="40"/>
      <c r="V27" s="40"/>
      <c r="W27" s="40"/>
      <c r="X27" s="40"/>
    </row>
    <row r="28" spans="1:24">
      <c r="A28" s="65" t="s">
        <v>129</v>
      </c>
      <c r="B28" s="5" t="s">
        <v>15</v>
      </c>
      <c r="C28" s="15">
        <v>200</v>
      </c>
      <c r="D28" s="18">
        <v>200</v>
      </c>
      <c r="E28" s="13">
        <f>C28*0.3/200</f>
        <v>0.3</v>
      </c>
      <c r="F28" s="17">
        <f>D28*0.3/200</f>
        <v>0.3</v>
      </c>
      <c r="G28" s="24">
        <f>C28*0/200</f>
        <v>0</v>
      </c>
      <c r="H28" s="17">
        <f>D28*0/200</f>
        <v>0</v>
      </c>
      <c r="I28" s="13">
        <f>C28*15.2/200</f>
        <v>15.2</v>
      </c>
      <c r="J28" s="17">
        <f>D28*15.2/200</f>
        <v>15.2</v>
      </c>
      <c r="K28" s="13">
        <f t="shared" si="2"/>
        <v>62</v>
      </c>
      <c r="L28" s="17">
        <f t="shared" si="2"/>
        <v>62</v>
      </c>
      <c r="M28" s="1"/>
      <c r="N28" s="37"/>
      <c r="O28" s="40"/>
      <c r="P28" s="40"/>
      <c r="Q28" s="40"/>
      <c r="R28" s="40"/>
      <c r="S28" s="1"/>
      <c r="T28" s="37"/>
      <c r="U28" s="40"/>
      <c r="V28" s="40"/>
      <c r="W28" s="40"/>
      <c r="X28" s="40"/>
    </row>
    <row r="29" spans="1:24">
      <c r="A29" s="65"/>
      <c r="B29" s="7" t="s">
        <v>18</v>
      </c>
      <c r="C29" s="62">
        <f t="shared" ref="C29:L29" si="7">SUM(C27:C28)</f>
        <v>275</v>
      </c>
      <c r="D29" s="11">
        <f t="shared" si="7"/>
        <v>275</v>
      </c>
      <c r="E29" s="10">
        <f t="shared" si="7"/>
        <v>4.76</v>
      </c>
      <c r="F29" s="16">
        <f t="shared" si="7"/>
        <v>4.76</v>
      </c>
      <c r="G29" s="10">
        <f t="shared" si="7"/>
        <v>2.98</v>
      </c>
      <c r="H29" s="11">
        <f t="shared" si="7"/>
        <v>2.98</v>
      </c>
      <c r="I29" s="62">
        <f t="shared" si="7"/>
        <v>59.319999999999993</v>
      </c>
      <c r="J29" s="11">
        <f t="shared" si="7"/>
        <v>59.319999999999993</v>
      </c>
      <c r="K29" s="10">
        <f t="shared" si="7"/>
        <v>283.14</v>
      </c>
      <c r="L29" s="16">
        <f t="shared" si="7"/>
        <v>283.14</v>
      </c>
      <c r="M29" s="36"/>
      <c r="N29" s="49"/>
      <c r="O29" s="40"/>
      <c r="P29" s="40"/>
      <c r="Q29" s="40"/>
      <c r="R29" s="40"/>
      <c r="S29" s="36"/>
      <c r="T29" s="37"/>
      <c r="U29" s="40"/>
      <c r="V29" s="40"/>
      <c r="W29" s="40"/>
      <c r="X29" s="40"/>
    </row>
    <row r="30" spans="1:24">
      <c r="A30" s="99"/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1"/>
      <c r="N30" s="50"/>
      <c r="T30" s="51"/>
    </row>
    <row r="31" spans="1:24">
      <c r="A31" s="26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N31" s="44"/>
      <c r="T31" s="40"/>
    </row>
    <row r="32" spans="1:24">
      <c r="A32" s="26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N32" s="44"/>
      <c r="T32" s="40"/>
    </row>
    <row r="33" spans="1:20">
      <c r="A33" s="26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N33" s="45"/>
      <c r="T33" s="46"/>
    </row>
    <row r="34" spans="1:20">
      <c r="A34" s="26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N34" s="1"/>
      <c r="T34" s="1"/>
    </row>
    <row r="35" spans="1:20">
      <c r="A35" s="26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T35" s="1"/>
    </row>
    <row r="36" spans="1:20">
      <c r="A36" s="26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</row>
    <row r="37" spans="1:20">
      <c r="A37" s="26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</row>
    <row r="38" spans="1:20">
      <c r="A38" s="26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</row>
    <row r="39" spans="1:20">
      <c r="A39" s="36"/>
      <c r="B39" s="36"/>
      <c r="C39" s="36"/>
      <c r="D39" s="32"/>
      <c r="E39" s="32"/>
      <c r="F39" s="32"/>
      <c r="G39" s="32"/>
      <c r="H39" s="32"/>
      <c r="I39" s="32"/>
      <c r="J39" s="32"/>
      <c r="K39" s="32"/>
      <c r="L39" s="32"/>
    </row>
    <row r="40" spans="1:20">
      <c r="A40" s="1"/>
      <c r="B40" s="1"/>
      <c r="C40" s="37"/>
      <c r="D40" s="26"/>
      <c r="E40" s="26"/>
      <c r="F40" s="26"/>
      <c r="G40" s="26"/>
      <c r="H40" s="26"/>
      <c r="I40" s="26"/>
      <c r="J40" s="26"/>
      <c r="K40" s="26"/>
      <c r="L40" s="26"/>
      <c r="M40" s="1"/>
    </row>
    <row r="41" spans="1:20">
      <c r="A41" s="1"/>
      <c r="B41" s="1"/>
      <c r="C41" s="37"/>
      <c r="D41" s="26"/>
      <c r="E41" s="26"/>
      <c r="F41" s="26"/>
      <c r="G41" s="26"/>
      <c r="H41" s="26"/>
      <c r="I41" s="26"/>
      <c r="J41" s="26"/>
      <c r="K41" s="26"/>
      <c r="L41" s="26"/>
      <c r="M41" s="1"/>
    </row>
    <row r="42" spans="1:20">
      <c r="A42" s="1"/>
      <c r="B42" s="1"/>
      <c r="C42" s="37"/>
      <c r="D42" s="26"/>
      <c r="E42" s="26"/>
      <c r="F42" s="26"/>
      <c r="G42" s="26"/>
      <c r="H42" s="26"/>
      <c r="I42" s="26"/>
      <c r="J42" s="26"/>
      <c r="K42" s="26"/>
      <c r="L42" s="26"/>
      <c r="M42" s="1"/>
    </row>
    <row r="43" spans="1:20">
      <c r="A43" s="1"/>
      <c r="B43" s="1"/>
      <c r="C43" s="37"/>
      <c r="D43" s="26"/>
      <c r="E43" s="26"/>
      <c r="F43" s="26"/>
      <c r="G43" s="26"/>
      <c r="H43" s="26"/>
      <c r="I43" s="26"/>
      <c r="J43" s="26"/>
      <c r="K43" s="26"/>
      <c r="L43" s="26"/>
      <c r="M43" s="1"/>
    </row>
    <row r="44" spans="1:20">
      <c r="A44" s="1"/>
      <c r="B44" s="1"/>
      <c r="C44" s="37"/>
      <c r="D44" s="1"/>
      <c r="I44" s="8"/>
      <c r="J44" s="8"/>
      <c r="K44" s="8"/>
      <c r="L44" s="8"/>
    </row>
    <row r="45" spans="1:20">
      <c r="A45" s="1"/>
      <c r="B45" s="1"/>
      <c r="C45" s="37"/>
      <c r="D45" s="1"/>
    </row>
    <row r="46" spans="1:20">
      <c r="A46" s="1"/>
      <c r="B46" s="1"/>
      <c r="C46" s="37"/>
      <c r="D46" s="1"/>
    </row>
    <row r="47" spans="1:20">
      <c r="A47" s="1"/>
      <c r="B47" s="1"/>
      <c r="C47" s="37"/>
      <c r="D47" s="1"/>
    </row>
    <row r="48" spans="1:20">
      <c r="A48" s="1"/>
      <c r="B48" s="1"/>
      <c r="C48" s="37"/>
      <c r="D48" s="1"/>
    </row>
    <row r="49" spans="1:4">
      <c r="A49" s="1"/>
      <c r="B49" s="1"/>
      <c r="C49" s="37"/>
      <c r="D49" s="1"/>
    </row>
    <row r="50" spans="1:4">
      <c r="A50" s="1"/>
      <c r="B50" s="1"/>
      <c r="C50" s="37"/>
      <c r="D50" s="1"/>
    </row>
    <row r="51" spans="1:4">
      <c r="A51" s="1"/>
      <c r="B51" s="1"/>
      <c r="C51" s="37"/>
      <c r="D51" s="1"/>
    </row>
    <row r="52" spans="1:4">
      <c r="A52" s="1"/>
      <c r="B52" s="1"/>
      <c r="C52" s="37"/>
      <c r="D52" s="1"/>
    </row>
    <row r="53" spans="1:4">
      <c r="A53" s="1"/>
      <c r="B53" s="1"/>
      <c r="C53" s="37"/>
      <c r="D53" s="1"/>
    </row>
    <row r="54" spans="1:4">
      <c r="A54" s="1"/>
      <c r="B54" s="1"/>
      <c r="C54" s="37"/>
      <c r="D54" s="1"/>
    </row>
    <row r="55" spans="1:4">
      <c r="A55" s="1"/>
      <c r="B55" s="1"/>
      <c r="C55" s="37"/>
      <c r="D55" s="1"/>
    </row>
    <row r="56" spans="1:4">
      <c r="A56" s="1"/>
      <c r="B56" s="1"/>
      <c r="C56" s="37"/>
      <c r="D56" s="1"/>
    </row>
    <row r="57" spans="1:4">
      <c r="A57" s="1"/>
      <c r="B57" s="1"/>
      <c r="C57" s="37"/>
      <c r="D57" s="1"/>
    </row>
    <row r="58" spans="1:4">
      <c r="A58" s="1"/>
      <c r="B58" s="1"/>
      <c r="C58" s="37"/>
      <c r="D58" s="1"/>
    </row>
    <row r="59" spans="1:4">
      <c r="A59" s="1"/>
      <c r="B59" s="1"/>
      <c r="C59" s="37"/>
      <c r="D59" s="1"/>
    </row>
    <row r="60" spans="1:4">
      <c r="A60" s="1"/>
      <c r="B60" s="1"/>
      <c r="C60" s="37"/>
      <c r="D60" s="1"/>
    </row>
    <row r="61" spans="1:4">
      <c r="A61" s="1"/>
      <c r="B61" s="1"/>
      <c r="C61" s="37"/>
      <c r="D61" s="1"/>
    </row>
    <row r="62" spans="1:4">
      <c r="A62" s="1"/>
      <c r="B62" s="1"/>
      <c r="C62" s="37"/>
      <c r="D62" s="1"/>
    </row>
    <row r="63" spans="1:4">
      <c r="A63" s="1"/>
      <c r="B63" s="1"/>
      <c r="C63" s="37"/>
      <c r="D63" s="1"/>
    </row>
    <row r="64" spans="1:4">
      <c r="A64" s="1"/>
      <c r="B64" s="1"/>
      <c r="C64" s="37"/>
      <c r="D64" s="1"/>
    </row>
    <row r="65" spans="1:4">
      <c r="A65" s="1"/>
      <c r="B65" s="1"/>
      <c r="C65" s="37"/>
      <c r="D65" s="1"/>
    </row>
    <row r="66" spans="1:4">
      <c r="A66" s="1"/>
      <c r="B66" s="1"/>
      <c r="C66" s="1"/>
    </row>
    <row r="67" spans="1:4">
      <c r="A67" s="1"/>
      <c r="B67" s="1"/>
      <c r="C67" s="1"/>
    </row>
    <row r="68" spans="1:4">
      <c r="A68" s="1"/>
      <c r="B68" s="1"/>
      <c r="C68" s="1"/>
    </row>
    <row r="69" spans="1:4">
      <c r="A69" s="1"/>
      <c r="B69" s="1"/>
      <c r="C69" s="1"/>
    </row>
    <row r="70" spans="1:4">
      <c r="A70" s="1"/>
      <c r="B70" s="1"/>
      <c r="C70" s="1"/>
    </row>
  </sheetData>
  <mergeCells count="16">
    <mergeCell ref="A1:B1"/>
    <mergeCell ref="E1:H1"/>
    <mergeCell ref="A2:D2"/>
    <mergeCell ref="A3:A5"/>
    <mergeCell ref="B3:B5"/>
    <mergeCell ref="C3:D4"/>
    <mergeCell ref="E3:J3"/>
    <mergeCell ref="A23:L23"/>
    <mergeCell ref="A26:L26"/>
    <mergeCell ref="A30:L30"/>
    <mergeCell ref="K3:L4"/>
    <mergeCell ref="E4:F4"/>
    <mergeCell ref="G4:H4"/>
    <mergeCell ref="I4:J4"/>
    <mergeCell ref="A6:L6"/>
    <mergeCell ref="A12:L12"/>
  </mergeCells>
  <pageMargins left="0.32291666666666669" right="0.7" top="0.29166666666666669" bottom="0.44791666666666669" header="0.3" footer="0.3"/>
  <pageSetup paperSize="9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70"/>
  <sheetViews>
    <sheetView topLeftCell="A7" zoomScaleNormal="100" workbookViewId="0">
      <selection activeCell="A13" sqref="A13:L13"/>
    </sheetView>
  </sheetViews>
  <sheetFormatPr defaultRowHeight="15"/>
  <cols>
    <col min="1" max="1" width="10.5703125" style="73" customWidth="1"/>
    <col min="2" max="2" width="37" style="73" customWidth="1"/>
    <col min="3" max="3" width="7.28515625" style="73" customWidth="1"/>
    <col min="4" max="4" width="9" style="73" customWidth="1"/>
    <col min="5" max="5" width="6.7109375" style="73" customWidth="1"/>
    <col min="6" max="6" width="6.85546875" style="73" customWidth="1"/>
    <col min="7" max="7" width="6.42578125" style="73" customWidth="1"/>
    <col min="8" max="8" width="6.5703125" style="73" customWidth="1"/>
    <col min="9" max="9" width="7.5703125" style="73" customWidth="1"/>
    <col min="10" max="10" width="7.42578125" style="73" customWidth="1"/>
    <col min="11" max="11" width="9.7109375" style="73" customWidth="1"/>
    <col min="12" max="12" width="9.42578125" style="73" customWidth="1"/>
    <col min="13" max="13" width="9" style="73" customWidth="1"/>
    <col min="14" max="14" width="7.28515625" style="73" customWidth="1"/>
    <col min="15" max="18" width="9.140625" style="73"/>
    <col min="19" max="19" width="19.7109375" style="73" customWidth="1"/>
    <col min="20" max="20" width="7.7109375" style="73" customWidth="1"/>
    <col min="21" max="21" width="9.140625" style="73"/>
    <col min="22" max="22" width="7.7109375" style="73" customWidth="1"/>
    <col min="23" max="16384" width="9.140625" style="73"/>
  </cols>
  <sheetData>
    <row r="1" spans="1:24" ht="15.75">
      <c r="A1" s="107" t="s">
        <v>122</v>
      </c>
      <c r="B1" s="107"/>
      <c r="C1" s="60"/>
      <c r="D1" s="60"/>
      <c r="E1" s="108" t="s">
        <v>170</v>
      </c>
      <c r="F1" s="108"/>
      <c r="G1" s="108"/>
      <c r="H1" s="108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5.75">
      <c r="A2" s="109" t="s">
        <v>123</v>
      </c>
      <c r="B2" s="109"/>
      <c r="C2" s="109"/>
      <c r="D2" s="109"/>
      <c r="E2" s="109" t="s">
        <v>172</v>
      </c>
      <c r="F2" s="109"/>
      <c r="G2" s="109"/>
      <c r="H2" s="109"/>
      <c r="I2" s="61"/>
      <c r="J2" s="61"/>
      <c r="K2" s="61"/>
      <c r="L2" s="61"/>
      <c r="M2" s="36"/>
      <c r="N2" s="36"/>
      <c r="O2" s="1"/>
      <c r="P2" s="1"/>
      <c r="Q2" s="1"/>
      <c r="R2" s="1"/>
      <c r="S2" s="36"/>
      <c r="T2" s="36"/>
      <c r="U2" s="1"/>
      <c r="V2" s="1"/>
      <c r="W2" s="1"/>
      <c r="X2" s="1"/>
    </row>
    <row r="3" spans="1:24" ht="15" customHeight="1">
      <c r="A3" s="110" t="s">
        <v>0</v>
      </c>
      <c r="B3" s="113" t="s">
        <v>1</v>
      </c>
      <c r="C3" s="116" t="s">
        <v>8</v>
      </c>
      <c r="D3" s="117"/>
      <c r="E3" s="103" t="s">
        <v>9</v>
      </c>
      <c r="F3" s="103"/>
      <c r="G3" s="103"/>
      <c r="H3" s="103"/>
      <c r="I3" s="103"/>
      <c r="J3" s="103"/>
      <c r="K3" s="102" t="s">
        <v>7</v>
      </c>
      <c r="L3" s="102"/>
      <c r="M3" s="1"/>
      <c r="N3" s="37"/>
      <c r="O3" s="40"/>
      <c r="P3" s="40"/>
      <c r="Q3" s="40"/>
      <c r="R3" s="40"/>
      <c r="S3" s="1"/>
      <c r="T3" s="37"/>
      <c r="U3" s="40"/>
      <c r="V3" s="40"/>
      <c r="W3" s="40"/>
      <c r="X3" s="40"/>
    </row>
    <row r="4" spans="1:24">
      <c r="A4" s="111"/>
      <c r="B4" s="114"/>
      <c r="C4" s="116"/>
      <c r="D4" s="117"/>
      <c r="E4" s="103" t="s">
        <v>5</v>
      </c>
      <c r="F4" s="103"/>
      <c r="G4" s="102" t="s">
        <v>4</v>
      </c>
      <c r="H4" s="102"/>
      <c r="I4" s="103" t="s">
        <v>6</v>
      </c>
      <c r="J4" s="103"/>
      <c r="K4" s="102"/>
      <c r="L4" s="102"/>
      <c r="M4" s="1"/>
      <c r="N4" s="37"/>
      <c r="O4" s="40"/>
      <c r="P4" s="40"/>
      <c r="Q4" s="40"/>
      <c r="R4" s="40"/>
      <c r="S4" s="1"/>
      <c r="T4" s="37"/>
      <c r="U4" s="40"/>
      <c r="V4" s="40"/>
      <c r="W4" s="40"/>
      <c r="X4" s="40"/>
    </row>
    <row r="5" spans="1:24" ht="63">
      <c r="A5" s="112"/>
      <c r="B5" s="115"/>
      <c r="C5" s="75" t="s">
        <v>128</v>
      </c>
      <c r="D5" s="76" t="s">
        <v>127</v>
      </c>
      <c r="E5" s="75" t="s">
        <v>128</v>
      </c>
      <c r="F5" s="76" t="s">
        <v>127</v>
      </c>
      <c r="G5" s="75" t="s">
        <v>128</v>
      </c>
      <c r="H5" s="76" t="s">
        <v>127</v>
      </c>
      <c r="I5" s="75" t="s">
        <v>128</v>
      </c>
      <c r="J5" s="76" t="s">
        <v>127</v>
      </c>
      <c r="K5" s="75" t="s">
        <v>128</v>
      </c>
      <c r="L5" s="77" t="s">
        <v>127</v>
      </c>
      <c r="M5" s="1"/>
      <c r="N5" s="37"/>
      <c r="O5" s="40"/>
      <c r="P5" s="40"/>
      <c r="Q5" s="40"/>
      <c r="R5" s="40"/>
      <c r="S5" s="1"/>
      <c r="T5" s="37"/>
      <c r="U5" s="40"/>
      <c r="V5" s="40"/>
      <c r="W5" s="40"/>
      <c r="X5" s="40"/>
    </row>
    <row r="6" spans="1:24">
      <c r="A6" s="99" t="s">
        <v>10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1"/>
      <c r="M6" s="1"/>
      <c r="N6" s="37"/>
      <c r="O6" s="40"/>
      <c r="P6" s="40"/>
      <c r="Q6" s="40"/>
      <c r="R6" s="40"/>
      <c r="S6" s="1"/>
      <c r="T6" s="37"/>
      <c r="U6" s="40"/>
      <c r="V6" s="40"/>
      <c r="W6" s="40"/>
      <c r="X6" s="40"/>
    </row>
    <row r="7" spans="1:24">
      <c r="A7" s="47" t="s">
        <v>153</v>
      </c>
      <c r="B7" s="74" t="s">
        <v>154</v>
      </c>
      <c r="C7" s="15">
        <v>160</v>
      </c>
      <c r="D7" s="20">
        <v>200</v>
      </c>
      <c r="E7" s="13">
        <f>C7*1.1/100</f>
        <v>1.76</v>
      </c>
      <c r="F7" s="17">
        <f>D7*1.1/100</f>
        <v>2.2000000000000002</v>
      </c>
      <c r="G7" s="13">
        <f>C7*4.1/100</f>
        <v>6.56</v>
      </c>
      <c r="H7" s="17">
        <f>D7*4.1/100</f>
        <v>8.1999999999999993</v>
      </c>
      <c r="I7" s="13">
        <f>C7*10.5/100</f>
        <v>16.8</v>
      </c>
      <c r="J7" s="17">
        <f>D7*10.5/100</f>
        <v>21</v>
      </c>
      <c r="K7" s="15">
        <f t="shared" ref="K7:L11" si="0">E7*4+G7*9+I7*4</f>
        <v>133.28</v>
      </c>
      <c r="L7" s="17">
        <f t="shared" si="0"/>
        <v>166.6</v>
      </c>
      <c r="M7" s="1"/>
      <c r="N7" s="37"/>
      <c r="O7" s="40"/>
      <c r="P7" s="40"/>
      <c r="Q7" s="40"/>
      <c r="R7" s="40"/>
      <c r="S7" s="1"/>
      <c r="T7" s="37"/>
      <c r="U7" s="40"/>
      <c r="V7" s="40"/>
      <c r="W7" s="40"/>
      <c r="X7" s="40"/>
    </row>
    <row r="8" spans="1:24">
      <c r="A8" s="65"/>
      <c r="B8" s="2" t="s">
        <v>2</v>
      </c>
      <c r="C8" s="14">
        <v>30</v>
      </c>
      <c r="D8" s="21">
        <v>40</v>
      </c>
      <c r="E8" s="14">
        <f>C8*7.5/100</f>
        <v>2.25</v>
      </c>
      <c r="F8" s="27">
        <f>D8*7.5/100</f>
        <v>3</v>
      </c>
      <c r="G8" s="13">
        <f>C8*2.9/100</f>
        <v>0.87</v>
      </c>
      <c r="H8" s="18">
        <f>D8*2.9/100</f>
        <v>1.1599999999999999</v>
      </c>
      <c r="I8" s="15">
        <f>C8*51.4/100</f>
        <v>15.42</v>
      </c>
      <c r="J8" s="18">
        <f>D8*51.4/100</f>
        <v>20.56</v>
      </c>
      <c r="K8" s="15">
        <f t="shared" si="0"/>
        <v>78.509999999999991</v>
      </c>
      <c r="L8" s="18">
        <f t="shared" si="0"/>
        <v>104.67999999999999</v>
      </c>
      <c r="M8" s="1"/>
      <c r="N8" s="37"/>
      <c r="O8" s="40"/>
      <c r="P8" s="40"/>
      <c r="Q8" s="40"/>
      <c r="R8" s="40"/>
      <c r="S8" s="1"/>
      <c r="T8" s="37"/>
      <c r="U8" s="40"/>
      <c r="V8" s="40"/>
      <c r="W8" s="40"/>
      <c r="X8" s="40"/>
    </row>
    <row r="9" spans="1:24">
      <c r="A9" s="81" t="s">
        <v>177</v>
      </c>
      <c r="B9" s="4" t="s">
        <v>176</v>
      </c>
      <c r="C9" s="15">
        <v>10</v>
      </c>
      <c r="D9" s="22">
        <v>10</v>
      </c>
      <c r="E9" s="15">
        <f>C9*0.08/10</f>
        <v>0.08</v>
      </c>
      <c r="F9" s="18">
        <f>D9*0.08/10</f>
        <v>0.08</v>
      </c>
      <c r="G9" s="13">
        <f>C9*7.25/10</f>
        <v>7.25</v>
      </c>
      <c r="H9" s="17">
        <f>D9*7.25/10</f>
        <v>7.25</v>
      </c>
      <c r="I9" s="13">
        <f>C9*0.13/10</f>
        <v>0.13</v>
      </c>
      <c r="J9" s="17">
        <f>D9*0.13/10</f>
        <v>0.13</v>
      </c>
      <c r="K9" s="13">
        <f t="shared" si="0"/>
        <v>66.089999999999989</v>
      </c>
      <c r="L9" s="17">
        <f t="shared" si="0"/>
        <v>66.089999999999989</v>
      </c>
      <c r="M9" s="1"/>
      <c r="N9" s="37"/>
      <c r="O9" s="40"/>
      <c r="P9" s="40"/>
      <c r="Q9" s="40"/>
      <c r="R9" s="40"/>
      <c r="S9" s="1"/>
      <c r="T9" s="37"/>
      <c r="U9" s="40"/>
      <c r="V9" s="40"/>
      <c r="W9" s="40"/>
      <c r="X9" s="40"/>
    </row>
    <row r="10" spans="1:24">
      <c r="A10" s="47" t="s">
        <v>175</v>
      </c>
      <c r="B10" s="2" t="s">
        <v>3</v>
      </c>
      <c r="C10" s="15">
        <v>200</v>
      </c>
      <c r="D10" s="18">
        <v>200</v>
      </c>
      <c r="E10" s="13">
        <f>C10*4.9/200</f>
        <v>4.9000000000000004</v>
      </c>
      <c r="F10" s="17">
        <f>D10*4.9/200</f>
        <v>4.9000000000000004</v>
      </c>
      <c r="G10" s="13">
        <f>C10*5/200</f>
        <v>5</v>
      </c>
      <c r="H10" s="17">
        <f>D10*5/200</f>
        <v>5</v>
      </c>
      <c r="I10" s="13">
        <f>C10*32.5/200</f>
        <v>32.5</v>
      </c>
      <c r="J10" s="17">
        <f>D10*32.5/200</f>
        <v>32.5</v>
      </c>
      <c r="K10" s="13">
        <f t="shared" si="0"/>
        <v>194.6</v>
      </c>
      <c r="L10" s="17">
        <f t="shared" si="0"/>
        <v>194.6</v>
      </c>
      <c r="M10" s="1"/>
      <c r="N10" s="37"/>
      <c r="O10" s="40"/>
      <c r="P10" s="40"/>
      <c r="Q10" s="40"/>
      <c r="R10" s="40"/>
      <c r="S10" s="1"/>
      <c r="T10" s="37"/>
      <c r="U10" s="40"/>
      <c r="V10" s="40"/>
      <c r="W10" s="40"/>
      <c r="X10" s="40"/>
    </row>
    <row r="11" spans="1:24">
      <c r="A11" s="64"/>
      <c r="B11" s="7" t="s">
        <v>19</v>
      </c>
      <c r="C11" s="62">
        <f>SUM(C7:C10)</f>
        <v>400</v>
      </c>
      <c r="D11" s="23">
        <f>SUM(D7:D10)</f>
        <v>450</v>
      </c>
      <c r="E11" s="10">
        <f t="shared" ref="E11:J11" si="1">SUM(E7:E10)</f>
        <v>8.99</v>
      </c>
      <c r="F11" s="16">
        <f t="shared" si="1"/>
        <v>10.18</v>
      </c>
      <c r="G11" s="10">
        <f t="shared" si="1"/>
        <v>19.68</v>
      </c>
      <c r="H11" s="16">
        <f t="shared" si="1"/>
        <v>21.61</v>
      </c>
      <c r="I11" s="10">
        <f t="shared" si="1"/>
        <v>64.849999999999994</v>
      </c>
      <c r="J11" s="16">
        <f t="shared" si="1"/>
        <v>74.19</v>
      </c>
      <c r="K11" s="10">
        <f t="shared" si="0"/>
        <v>472.48</v>
      </c>
      <c r="L11" s="16">
        <f t="shared" si="0"/>
        <v>531.97</v>
      </c>
      <c r="M11" s="1"/>
      <c r="N11" s="37"/>
      <c r="O11" s="40"/>
      <c r="P11" s="40"/>
      <c r="Q11" s="40"/>
      <c r="R11" s="40"/>
      <c r="S11" s="1"/>
      <c r="T11" s="37"/>
      <c r="U11" s="40"/>
      <c r="V11" s="40"/>
      <c r="W11" s="40"/>
      <c r="X11" s="40"/>
    </row>
    <row r="12" spans="1:24">
      <c r="A12" s="104" t="s">
        <v>11</v>
      </c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06"/>
      <c r="M12" s="1"/>
      <c r="N12" s="37"/>
      <c r="O12" s="40"/>
      <c r="P12" s="40"/>
      <c r="Q12" s="40"/>
      <c r="R12" s="40"/>
      <c r="S12" s="1"/>
      <c r="T12" s="37"/>
      <c r="U12" s="40"/>
      <c r="V12" s="40"/>
      <c r="W12" s="40"/>
      <c r="X12" s="40"/>
    </row>
    <row r="13" spans="1:24">
      <c r="A13" s="47" t="s">
        <v>226</v>
      </c>
      <c r="B13" s="2" t="s">
        <v>225</v>
      </c>
      <c r="C13" s="15">
        <v>60</v>
      </c>
      <c r="D13" s="25">
        <v>100</v>
      </c>
      <c r="E13" s="13">
        <f>C13*1.6/100</f>
        <v>0.96</v>
      </c>
      <c r="F13" s="17">
        <f>D13*1.6/100</f>
        <v>1.6</v>
      </c>
      <c r="G13" s="13">
        <f>C13*4.99/100</f>
        <v>2.9940000000000002</v>
      </c>
      <c r="H13" s="17">
        <f>D13*4.99/100</f>
        <v>4.99</v>
      </c>
      <c r="I13" s="13">
        <f>C13*9.24/100</f>
        <v>5.5439999999999996</v>
      </c>
      <c r="J13" s="17">
        <f>D13*9.24/100</f>
        <v>9.24</v>
      </c>
      <c r="K13" s="83">
        <f t="shared" ref="K13:L13" si="2">E13*4+G13*9+I13*4</f>
        <v>52.962000000000003</v>
      </c>
      <c r="L13" s="84">
        <f t="shared" si="2"/>
        <v>88.27000000000001</v>
      </c>
      <c r="M13" s="1"/>
      <c r="N13" s="37"/>
      <c r="O13" s="40"/>
      <c r="P13" s="40"/>
      <c r="Q13" s="40"/>
      <c r="R13" s="40"/>
      <c r="S13" s="1"/>
      <c r="T13" s="37"/>
      <c r="U13" s="40"/>
      <c r="V13" s="40"/>
      <c r="W13" s="40"/>
      <c r="X13" s="40"/>
    </row>
    <row r="14" spans="1:24" ht="25.5">
      <c r="A14" s="47" t="s">
        <v>179</v>
      </c>
      <c r="B14" s="74" t="s">
        <v>180</v>
      </c>
      <c r="C14" s="14">
        <v>200</v>
      </c>
      <c r="D14" s="54">
        <v>250</v>
      </c>
      <c r="E14" s="83">
        <f>C14*2.9/250</f>
        <v>2.3199999999999998</v>
      </c>
      <c r="F14" s="84">
        <f>D14*2.9/250</f>
        <v>2.9</v>
      </c>
      <c r="G14" s="83">
        <f>C14*2.5/250</f>
        <v>2</v>
      </c>
      <c r="H14" s="84">
        <f>D14*2.5/250</f>
        <v>2.5</v>
      </c>
      <c r="I14" s="83">
        <f>C14*21/250</f>
        <v>16.8</v>
      </c>
      <c r="J14" s="84">
        <f>D14*21/250</f>
        <v>21</v>
      </c>
      <c r="K14" s="83">
        <f t="shared" ref="K14:L28" si="3">E14*4+G14*9+I14*4</f>
        <v>94.48</v>
      </c>
      <c r="L14" s="84">
        <f t="shared" si="3"/>
        <v>118.1</v>
      </c>
      <c r="M14" s="1"/>
      <c r="N14" s="37"/>
      <c r="O14" s="40"/>
      <c r="P14" s="40"/>
      <c r="Q14" s="40"/>
      <c r="R14" s="40"/>
      <c r="S14" s="1"/>
      <c r="T14" s="37"/>
      <c r="U14" s="40"/>
      <c r="V14" s="40"/>
      <c r="W14" s="40"/>
      <c r="X14" s="40"/>
    </row>
    <row r="15" spans="1:24">
      <c r="A15" s="47" t="s">
        <v>181</v>
      </c>
      <c r="B15" s="2" t="s">
        <v>182</v>
      </c>
      <c r="C15" s="15">
        <v>150</v>
      </c>
      <c r="D15" s="18">
        <v>180</v>
      </c>
      <c r="E15" s="13">
        <f>C15*2.1/100</f>
        <v>3.15</v>
      </c>
      <c r="F15" s="17">
        <f>D15*2.1/100</f>
        <v>3.78</v>
      </c>
      <c r="G15" s="13">
        <f>C15*4.5/100</f>
        <v>6.75</v>
      </c>
      <c r="H15" s="17">
        <f>D15*4.5/100</f>
        <v>8.1</v>
      </c>
      <c r="I15" s="13">
        <f>C15*14.6/100</f>
        <v>21.9</v>
      </c>
      <c r="J15" s="17">
        <f>D15*14.6/100</f>
        <v>26.28</v>
      </c>
      <c r="K15" s="13">
        <f t="shared" si="3"/>
        <v>160.94999999999999</v>
      </c>
      <c r="L15" s="17">
        <f t="shared" si="3"/>
        <v>193.14</v>
      </c>
      <c r="M15" s="1"/>
      <c r="N15" s="37"/>
      <c r="O15" s="40"/>
      <c r="P15" s="40"/>
      <c r="Q15" s="40"/>
      <c r="R15" s="40"/>
      <c r="S15" s="1"/>
      <c r="T15" s="37"/>
      <c r="U15" s="40"/>
      <c r="V15" s="40"/>
      <c r="W15" s="40"/>
      <c r="X15" s="40"/>
    </row>
    <row r="16" spans="1:24">
      <c r="A16" s="47" t="s">
        <v>183</v>
      </c>
      <c r="B16" s="2" t="s">
        <v>184</v>
      </c>
      <c r="C16" s="15">
        <v>100</v>
      </c>
      <c r="D16" s="18">
        <v>100</v>
      </c>
      <c r="E16" s="13">
        <f>C16*12.8/100</f>
        <v>12.8</v>
      </c>
      <c r="F16" s="17">
        <f>D16*12.8/100</f>
        <v>12.8</v>
      </c>
      <c r="G16" s="13">
        <f>C16*13.6/100</f>
        <v>13.6</v>
      </c>
      <c r="H16" s="17">
        <f>D16*13.6/100</f>
        <v>13.6</v>
      </c>
      <c r="I16" s="13">
        <f>C16*9.9/100</f>
        <v>9.9</v>
      </c>
      <c r="J16" s="17">
        <f>D16*9.9/100</f>
        <v>9.9</v>
      </c>
      <c r="K16" s="13">
        <f t="shared" si="3"/>
        <v>213.2</v>
      </c>
      <c r="L16" s="17">
        <f t="shared" si="3"/>
        <v>213.2</v>
      </c>
      <c r="M16" s="1"/>
      <c r="N16" s="37"/>
      <c r="O16" s="40"/>
      <c r="P16" s="40"/>
      <c r="Q16" s="40"/>
      <c r="R16" s="40"/>
      <c r="S16" s="1"/>
      <c r="T16" s="37"/>
      <c r="U16" s="40"/>
      <c r="V16" s="40"/>
      <c r="W16" s="40"/>
      <c r="X16" s="40"/>
    </row>
    <row r="17" spans="1:24">
      <c r="A17" s="47" t="s">
        <v>165</v>
      </c>
      <c r="B17" s="2" t="s">
        <v>24</v>
      </c>
      <c r="C17" s="15">
        <v>20</v>
      </c>
      <c r="D17" s="18">
        <v>30</v>
      </c>
      <c r="E17" s="13">
        <f>C17*1.3/50</f>
        <v>0.52</v>
      </c>
      <c r="F17" s="17">
        <f>D17*1.3/50</f>
        <v>0.78</v>
      </c>
      <c r="G17" s="13">
        <f>C17*4.8/50</f>
        <v>1.92</v>
      </c>
      <c r="H17" s="17">
        <f>D17*4.8/50</f>
        <v>2.88</v>
      </c>
      <c r="I17" s="13">
        <f>C17*4.7/50</f>
        <v>1.88</v>
      </c>
      <c r="J17" s="17">
        <f>D17*4.7/50</f>
        <v>2.82</v>
      </c>
      <c r="K17" s="13">
        <f t="shared" si="3"/>
        <v>26.88</v>
      </c>
      <c r="L17" s="17">
        <f t="shared" si="3"/>
        <v>40.32</v>
      </c>
      <c r="M17" s="1"/>
      <c r="N17" s="37"/>
      <c r="O17" s="40"/>
      <c r="P17" s="40"/>
      <c r="Q17" s="40"/>
      <c r="R17" s="40"/>
      <c r="S17" s="1"/>
      <c r="T17" s="37"/>
      <c r="U17" s="40"/>
      <c r="V17" s="40"/>
      <c r="W17" s="40"/>
      <c r="X17" s="40"/>
    </row>
    <row r="18" spans="1:24">
      <c r="A18" s="47" t="s">
        <v>192</v>
      </c>
      <c r="B18" s="2" t="s">
        <v>193</v>
      </c>
      <c r="C18" s="15">
        <v>200</v>
      </c>
      <c r="D18" s="18">
        <v>200</v>
      </c>
      <c r="E18" s="13">
        <f>C18*0.51/150</f>
        <v>0.68</v>
      </c>
      <c r="F18" s="17">
        <f>D18*0.51/150</f>
        <v>0.68</v>
      </c>
      <c r="G18" s="13">
        <f>C18*0.21/150</f>
        <v>0.28000000000000003</v>
      </c>
      <c r="H18" s="17">
        <f>D18*0.21/150</f>
        <v>0.28000000000000003</v>
      </c>
      <c r="I18" s="13">
        <f>C18*14.23/150</f>
        <v>18.973333333333333</v>
      </c>
      <c r="J18" s="17">
        <f>D18*14.23/150</f>
        <v>18.973333333333333</v>
      </c>
      <c r="K18" s="13">
        <f t="shared" si="3"/>
        <v>81.133333333333326</v>
      </c>
      <c r="L18" s="17">
        <f t="shared" si="3"/>
        <v>81.133333333333326</v>
      </c>
      <c r="M18" s="1"/>
      <c r="N18" s="37"/>
      <c r="O18" s="40"/>
      <c r="P18" s="40"/>
      <c r="Q18" s="40"/>
      <c r="R18" s="40"/>
      <c r="S18" s="1"/>
      <c r="T18" s="37"/>
      <c r="U18" s="40"/>
      <c r="V18" s="40"/>
      <c r="W18" s="40"/>
      <c r="X18" s="40"/>
    </row>
    <row r="19" spans="1:24">
      <c r="A19" s="65"/>
      <c r="B19" s="5" t="s">
        <v>217</v>
      </c>
      <c r="C19" s="15">
        <v>30</v>
      </c>
      <c r="D19" s="18">
        <v>40</v>
      </c>
      <c r="E19" s="13">
        <f>C19*6.6/100</f>
        <v>1.98</v>
      </c>
      <c r="F19" s="17">
        <f>D19*6.6/100</f>
        <v>2.64</v>
      </c>
      <c r="G19" s="13">
        <f>C19*1.1/100</f>
        <v>0.33</v>
      </c>
      <c r="H19" s="17">
        <f>D19*1.1/100</f>
        <v>0.44</v>
      </c>
      <c r="I19" s="13">
        <f>C19*43.9/100</f>
        <v>13.17</v>
      </c>
      <c r="J19" s="17">
        <f>D19*43.9/100</f>
        <v>17.559999999999999</v>
      </c>
      <c r="K19" s="13">
        <f t="shared" si="3"/>
        <v>63.57</v>
      </c>
      <c r="L19" s="17">
        <f t="shared" si="3"/>
        <v>84.759999999999991</v>
      </c>
      <c r="M19" s="1"/>
      <c r="N19" s="37"/>
      <c r="O19" s="40"/>
      <c r="P19" s="40"/>
      <c r="Q19" s="40"/>
      <c r="R19" s="40"/>
      <c r="S19" s="1"/>
      <c r="T19" s="37"/>
      <c r="U19" s="40"/>
      <c r="V19" s="40"/>
      <c r="W19" s="40"/>
      <c r="X19" s="40"/>
    </row>
    <row r="20" spans="1:24">
      <c r="A20" s="65"/>
      <c r="B20" s="5" t="s">
        <v>216</v>
      </c>
      <c r="C20" s="15">
        <v>30</v>
      </c>
      <c r="D20" s="18">
        <v>40</v>
      </c>
      <c r="E20" s="13">
        <f>C20*7.7/100</f>
        <v>2.31</v>
      </c>
      <c r="F20" s="17">
        <f>D20*7.7/100</f>
        <v>3.08</v>
      </c>
      <c r="G20" s="13">
        <f>C20*0.8/100</f>
        <v>0.24</v>
      </c>
      <c r="H20" s="17">
        <f>D20*0.8/100</f>
        <v>0.32</v>
      </c>
      <c r="I20" s="13">
        <f>C20*49.5/100</f>
        <v>14.85</v>
      </c>
      <c r="J20" s="17">
        <f>D20*49.5/100</f>
        <v>19.8</v>
      </c>
      <c r="K20" s="13">
        <f t="shared" si="3"/>
        <v>70.8</v>
      </c>
      <c r="L20" s="17">
        <f t="shared" si="3"/>
        <v>94.4</v>
      </c>
      <c r="M20" s="1"/>
      <c r="N20" s="37"/>
      <c r="O20" s="40"/>
      <c r="P20" s="40"/>
      <c r="Q20" s="40"/>
      <c r="R20" s="40"/>
      <c r="S20" s="1"/>
      <c r="T20" s="37"/>
      <c r="U20" s="40"/>
      <c r="V20" s="40"/>
      <c r="W20" s="40"/>
      <c r="X20" s="40"/>
    </row>
    <row r="21" spans="1:24">
      <c r="A21" s="65"/>
      <c r="B21" s="5" t="s">
        <v>248</v>
      </c>
      <c r="C21" s="15">
        <v>100</v>
      </c>
      <c r="D21" s="18">
        <v>100</v>
      </c>
      <c r="E21" s="13">
        <v>0.4</v>
      </c>
      <c r="F21" s="17">
        <v>0.4</v>
      </c>
      <c r="G21" s="13">
        <v>0.4</v>
      </c>
      <c r="H21" s="17">
        <v>0.4</v>
      </c>
      <c r="I21" s="13">
        <v>9.8000000000000007</v>
      </c>
      <c r="J21" s="17">
        <v>9.8000000000000007</v>
      </c>
      <c r="K21" s="13">
        <f t="shared" si="3"/>
        <v>44.400000000000006</v>
      </c>
      <c r="L21" s="17">
        <f t="shared" si="3"/>
        <v>44.400000000000006</v>
      </c>
      <c r="M21" s="1"/>
      <c r="N21" s="37"/>
      <c r="O21" s="40"/>
      <c r="P21" s="40"/>
      <c r="Q21" s="40"/>
      <c r="R21" s="40"/>
      <c r="S21" s="1"/>
      <c r="T21" s="37"/>
      <c r="U21" s="40"/>
      <c r="V21" s="40"/>
      <c r="W21" s="40"/>
      <c r="X21" s="40"/>
    </row>
    <row r="22" spans="1:24">
      <c r="A22" s="65"/>
      <c r="B22" s="7" t="s">
        <v>20</v>
      </c>
      <c r="C22" s="62">
        <f t="shared" ref="C22:L22" si="4">SUM(C13:C21)</f>
        <v>890</v>
      </c>
      <c r="D22" s="28">
        <f t="shared" si="4"/>
        <v>1040</v>
      </c>
      <c r="E22" s="62">
        <f t="shared" si="4"/>
        <v>25.119999999999997</v>
      </c>
      <c r="F22" s="16">
        <f t="shared" si="4"/>
        <v>28.659999999999997</v>
      </c>
      <c r="G22" s="62">
        <f t="shared" si="4"/>
        <v>28.513999999999999</v>
      </c>
      <c r="H22" s="16">
        <f t="shared" si="4"/>
        <v>33.51</v>
      </c>
      <c r="I22" s="62">
        <f t="shared" si="4"/>
        <v>112.81733333333332</v>
      </c>
      <c r="J22" s="16">
        <f t="shared" si="4"/>
        <v>135.37333333333333</v>
      </c>
      <c r="K22" s="10">
        <f t="shared" si="4"/>
        <v>808.37533333333329</v>
      </c>
      <c r="L22" s="16">
        <f t="shared" si="4"/>
        <v>957.72333333333336</v>
      </c>
      <c r="M22" s="1"/>
      <c r="N22" s="37"/>
      <c r="O22" s="40"/>
      <c r="P22" s="40"/>
      <c r="Q22" s="40"/>
      <c r="R22" s="40"/>
      <c r="S22" s="1"/>
      <c r="T22" s="37"/>
      <c r="U22" s="40"/>
      <c r="V22" s="40"/>
      <c r="W22" s="40"/>
      <c r="X22" s="40"/>
    </row>
    <row r="23" spans="1:24">
      <c r="A23" s="99"/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1"/>
      <c r="M23" s="1"/>
      <c r="N23" s="37"/>
      <c r="O23" s="40"/>
      <c r="P23" s="40"/>
      <c r="Q23" s="40"/>
      <c r="R23" s="40"/>
      <c r="S23" s="1"/>
      <c r="T23" s="37"/>
      <c r="U23" s="40"/>
      <c r="V23" s="40"/>
      <c r="W23" s="40"/>
      <c r="X23" s="40"/>
    </row>
    <row r="24" spans="1:24">
      <c r="A24" s="29"/>
      <c r="B24" s="30" t="s">
        <v>16</v>
      </c>
      <c r="C24" s="31"/>
      <c r="D24" s="31"/>
      <c r="E24" s="33">
        <f t="shared" ref="E24:L24" si="5">E11+E22</f>
        <v>34.11</v>
      </c>
      <c r="F24" s="34">
        <f t="shared" si="5"/>
        <v>38.839999999999996</v>
      </c>
      <c r="G24" s="33">
        <f t="shared" si="5"/>
        <v>48.194000000000003</v>
      </c>
      <c r="H24" s="34">
        <f t="shared" si="5"/>
        <v>55.12</v>
      </c>
      <c r="I24" s="33">
        <f t="shared" si="5"/>
        <v>177.66733333333332</v>
      </c>
      <c r="J24" s="34">
        <f t="shared" si="5"/>
        <v>209.56333333333333</v>
      </c>
      <c r="K24" s="33">
        <f t="shared" si="5"/>
        <v>1280.8553333333334</v>
      </c>
      <c r="L24" s="34">
        <f t="shared" si="5"/>
        <v>1489.6933333333334</v>
      </c>
      <c r="M24" s="1"/>
      <c r="N24" s="37"/>
      <c r="O24" s="40"/>
      <c r="P24" s="40"/>
      <c r="Q24" s="40"/>
      <c r="R24" s="40"/>
      <c r="S24" s="1"/>
      <c r="T24" s="37"/>
      <c r="U24" s="40"/>
      <c r="V24" s="40"/>
      <c r="W24" s="40"/>
      <c r="X24" s="40"/>
    </row>
    <row r="25" spans="1:24">
      <c r="A25" s="65"/>
      <c r="B25" s="39" t="s">
        <v>30</v>
      </c>
      <c r="C25" s="38"/>
      <c r="D25" s="38"/>
      <c r="E25" s="79">
        <v>46.2</v>
      </c>
      <c r="F25" s="80">
        <v>54</v>
      </c>
      <c r="G25" s="79">
        <v>47.4</v>
      </c>
      <c r="H25" s="79">
        <v>55.2</v>
      </c>
      <c r="I25" s="80">
        <v>201</v>
      </c>
      <c r="J25" s="79">
        <v>229.8</v>
      </c>
      <c r="K25" s="80">
        <v>1410</v>
      </c>
      <c r="L25" s="80">
        <v>1632</v>
      </c>
      <c r="M25" s="1"/>
      <c r="N25" s="37"/>
      <c r="O25" s="40"/>
      <c r="P25" s="40"/>
      <c r="Q25" s="40"/>
      <c r="R25" s="40"/>
      <c r="S25" s="1"/>
      <c r="T25" s="37"/>
      <c r="U25" s="40"/>
      <c r="V25" s="40"/>
      <c r="W25" s="40"/>
      <c r="X25" s="40"/>
    </row>
    <row r="26" spans="1:24">
      <c r="A26" s="99" t="s">
        <v>35</v>
      </c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1"/>
      <c r="M26" s="1"/>
      <c r="N26" s="37"/>
      <c r="O26" s="40"/>
      <c r="P26" s="40"/>
      <c r="Q26" s="40"/>
      <c r="R26" s="40"/>
      <c r="S26" s="1"/>
      <c r="T26" s="37"/>
      <c r="U26" s="40"/>
      <c r="V26" s="40"/>
      <c r="W26" s="40"/>
      <c r="X26" s="40"/>
    </row>
    <row r="27" spans="1:24">
      <c r="A27" s="47" t="s">
        <v>191</v>
      </c>
      <c r="B27" s="2" t="s">
        <v>17</v>
      </c>
      <c r="C27" s="15">
        <v>75</v>
      </c>
      <c r="D27" s="18">
        <v>75</v>
      </c>
      <c r="E27" s="13">
        <f>C27*3.9/50</f>
        <v>5.85</v>
      </c>
      <c r="F27" s="17">
        <f>D27*3.9/50</f>
        <v>5.85</v>
      </c>
      <c r="G27" s="13">
        <f>C27*3.06/50</f>
        <v>4.59</v>
      </c>
      <c r="H27" s="17">
        <f>D27*3.06/50</f>
        <v>4.59</v>
      </c>
      <c r="I27" s="13">
        <f>C27*26.93/50</f>
        <v>40.395000000000003</v>
      </c>
      <c r="J27" s="17">
        <f>D27*26.93/50</f>
        <v>40.395000000000003</v>
      </c>
      <c r="K27" s="13">
        <f t="shared" si="3"/>
        <v>226.29000000000002</v>
      </c>
      <c r="L27" s="17">
        <f t="shared" si="3"/>
        <v>226.29000000000002</v>
      </c>
      <c r="M27" s="1"/>
      <c r="N27" s="37"/>
      <c r="O27" s="40"/>
      <c r="P27" s="40"/>
      <c r="Q27" s="40"/>
      <c r="R27" s="40"/>
      <c r="S27" s="1"/>
      <c r="T27" s="37"/>
      <c r="U27" s="40"/>
      <c r="V27" s="40"/>
      <c r="W27" s="40"/>
      <c r="X27" s="40"/>
    </row>
    <row r="28" spans="1:24">
      <c r="A28" s="47" t="s">
        <v>140</v>
      </c>
      <c r="B28" s="2" t="s">
        <v>141</v>
      </c>
      <c r="C28" s="15">
        <v>200</v>
      </c>
      <c r="D28" s="18">
        <v>200</v>
      </c>
      <c r="E28" s="13">
        <f>C28*0.06/180</f>
        <v>6.6666666666666666E-2</v>
      </c>
      <c r="F28" s="17">
        <f>D28*0.06/180</f>
        <v>6.6666666666666666E-2</v>
      </c>
      <c r="G28" s="13">
        <f>C28*0/50</f>
        <v>0</v>
      </c>
      <c r="H28" s="17">
        <f>D28*0/50</f>
        <v>0</v>
      </c>
      <c r="I28" s="13">
        <f>C28*9.99/180</f>
        <v>11.1</v>
      </c>
      <c r="J28" s="17">
        <f>D28*9.99/180</f>
        <v>11.1</v>
      </c>
      <c r="K28" s="13">
        <f t="shared" si="3"/>
        <v>44.666666666666664</v>
      </c>
      <c r="L28" s="17">
        <f t="shared" si="3"/>
        <v>44.666666666666664</v>
      </c>
      <c r="M28" s="1"/>
      <c r="N28" s="37"/>
      <c r="O28" s="40"/>
      <c r="P28" s="40"/>
      <c r="Q28" s="40"/>
      <c r="R28" s="40"/>
      <c r="S28" s="1"/>
      <c r="T28" s="37"/>
      <c r="U28" s="40"/>
      <c r="V28" s="40"/>
      <c r="W28" s="40"/>
      <c r="X28" s="40"/>
    </row>
    <row r="29" spans="1:24">
      <c r="A29" s="65"/>
      <c r="B29" s="7" t="s">
        <v>18</v>
      </c>
      <c r="C29" s="62">
        <f t="shared" ref="C29:L29" si="6">SUM(C27:C28)</f>
        <v>275</v>
      </c>
      <c r="D29" s="11">
        <f t="shared" si="6"/>
        <v>275</v>
      </c>
      <c r="E29" s="10">
        <f t="shared" si="6"/>
        <v>5.9166666666666661</v>
      </c>
      <c r="F29" s="16">
        <f t="shared" si="6"/>
        <v>5.9166666666666661</v>
      </c>
      <c r="G29" s="10">
        <f t="shared" si="6"/>
        <v>4.59</v>
      </c>
      <c r="H29" s="11">
        <f t="shared" si="6"/>
        <v>4.59</v>
      </c>
      <c r="I29" s="62">
        <f t="shared" si="6"/>
        <v>51.495000000000005</v>
      </c>
      <c r="J29" s="11">
        <f t="shared" si="6"/>
        <v>51.495000000000005</v>
      </c>
      <c r="K29" s="10">
        <f t="shared" si="6"/>
        <v>270.95666666666671</v>
      </c>
      <c r="L29" s="16">
        <f t="shared" si="6"/>
        <v>270.95666666666671</v>
      </c>
      <c r="M29" s="36"/>
      <c r="N29" s="49"/>
      <c r="O29" s="40"/>
      <c r="P29" s="40"/>
      <c r="Q29" s="40"/>
      <c r="R29" s="40"/>
      <c r="S29" s="36"/>
      <c r="T29" s="37"/>
      <c r="U29" s="40"/>
      <c r="V29" s="40"/>
      <c r="W29" s="40"/>
      <c r="X29" s="40"/>
    </row>
    <row r="30" spans="1:24">
      <c r="A30" s="99"/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1"/>
      <c r="N30" s="50"/>
      <c r="T30" s="51"/>
    </row>
    <row r="31" spans="1:24">
      <c r="A31" s="26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N31" s="44"/>
      <c r="T31" s="40"/>
    </row>
    <row r="32" spans="1:24">
      <c r="A32" s="26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N32" s="44"/>
      <c r="T32" s="40"/>
    </row>
    <row r="33" spans="1:20">
      <c r="A33" s="26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N33" s="45"/>
      <c r="T33" s="46"/>
    </row>
    <row r="34" spans="1:20">
      <c r="A34" s="26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N34" s="1"/>
      <c r="T34" s="1"/>
    </row>
    <row r="35" spans="1:20">
      <c r="A35" s="26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T35" s="1"/>
    </row>
    <row r="36" spans="1:20">
      <c r="A36" s="26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</row>
    <row r="37" spans="1:20">
      <c r="A37" s="26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</row>
    <row r="38" spans="1:20">
      <c r="A38" s="26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</row>
    <row r="39" spans="1:20">
      <c r="A39" s="36"/>
      <c r="B39" s="36"/>
      <c r="C39" s="36"/>
      <c r="D39" s="32"/>
      <c r="E39" s="32"/>
      <c r="F39" s="32"/>
      <c r="G39" s="32"/>
      <c r="H39" s="32"/>
      <c r="I39" s="32"/>
      <c r="J39" s="32"/>
      <c r="K39" s="32"/>
      <c r="L39" s="32"/>
    </row>
    <row r="40" spans="1:20">
      <c r="A40" s="1"/>
      <c r="B40" s="1"/>
      <c r="C40" s="37"/>
      <c r="D40" s="26"/>
      <c r="E40" s="26"/>
      <c r="F40" s="26"/>
      <c r="G40" s="26"/>
      <c r="H40" s="26"/>
      <c r="I40" s="26"/>
      <c r="J40" s="26"/>
      <c r="K40" s="26"/>
      <c r="L40" s="26"/>
      <c r="M40" s="1"/>
    </row>
    <row r="41" spans="1:20">
      <c r="A41" s="1"/>
      <c r="B41" s="1"/>
      <c r="C41" s="37"/>
      <c r="D41" s="26"/>
      <c r="E41" s="26"/>
      <c r="F41" s="26"/>
      <c r="G41" s="26"/>
      <c r="H41" s="26"/>
      <c r="I41" s="26"/>
      <c r="J41" s="26"/>
      <c r="K41" s="26"/>
      <c r="L41" s="26"/>
      <c r="M41" s="1"/>
    </row>
    <row r="42" spans="1:20">
      <c r="A42" s="1"/>
      <c r="B42" s="1"/>
      <c r="C42" s="37"/>
      <c r="D42" s="26"/>
      <c r="E42" s="26"/>
      <c r="F42" s="26"/>
      <c r="G42" s="26"/>
      <c r="H42" s="26"/>
      <c r="I42" s="26"/>
      <c r="J42" s="26"/>
      <c r="K42" s="26"/>
      <c r="L42" s="26"/>
      <c r="M42" s="1"/>
    </row>
    <row r="43" spans="1:20">
      <c r="A43" s="1"/>
      <c r="B43" s="1"/>
      <c r="C43" s="37"/>
      <c r="D43" s="26"/>
      <c r="E43" s="26"/>
      <c r="F43" s="26"/>
      <c r="G43" s="26"/>
      <c r="H43" s="26"/>
      <c r="I43" s="26"/>
      <c r="J43" s="26"/>
      <c r="K43" s="26"/>
      <c r="L43" s="26"/>
      <c r="M43" s="1"/>
    </row>
    <row r="44" spans="1:20">
      <c r="A44" s="1"/>
      <c r="B44" s="1"/>
      <c r="C44" s="37"/>
      <c r="D44" s="1"/>
      <c r="I44" s="8"/>
      <c r="J44" s="8"/>
      <c r="K44" s="8"/>
      <c r="L44" s="8"/>
    </row>
    <row r="45" spans="1:20">
      <c r="A45" s="1"/>
      <c r="B45" s="1"/>
      <c r="C45" s="37"/>
      <c r="D45" s="1"/>
    </row>
    <row r="46" spans="1:20">
      <c r="A46" s="1"/>
      <c r="B46" s="1"/>
      <c r="C46" s="37"/>
      <c r="D46" s="1"/>
    </row>
    <row r="47" spans="1:20">
      <c r="A47" s="1"/>
      <c r="B47" s="1"/>
      <c r="C47" s="37"/>
      <c r="D47" s="1"/>
    </row>
    <row r="48" spans="1:20">
      <c r="A48" s="1"/>
      <c r="B48" s="1"/>
      <c r="C48" s="37"/>
      <c r="D48" s="1"/>
    </row>
    <row r="49" spans="1:4">
      <c r="A49" s="1"/>
      <c r="B49" s="1"/>
      <c r="C49" s="37"/>
      <c r="D49" s="1"/>
    </row>
    <row r="50" spans="1:4">
      <c r="A50" s="1"/>
      <c r="B50" s="1"/>
      <c r="C50" s="37"/>
      <c r="D50" s="1"/>
    </row>
    <row r="51" spans="1:4">
      <c r="A51" s="1"/>
      <c r="B51" s="1"/>
      <c r="C51" s="37"/>
      <c r="D51" s="1"/>
    </row>
    <row r="52" spans="1:4">
      <c r="A52" s="1"/>
      <c r="B52" s="1"/>
      <c r="C52" s="37"/>
      <c r="D52" s="1"/>
    </row>
    <row r="53" spans="1:4">
      <c r="A53" s="1"/>
      <c r="B53" s="1"/>
      <c r="C53" s="37"/>
      <c r="D53" s="1"/>
    </row>
    <row r="54" spans="1:4">
      <c r="A54" s="1"/>
      <c r="B54" s="1"/>
      <c r="C54" s="37"/>
      <c r="D54" s="1"/>
    </row>
    <row r="55" spans="1:4">
      <c r="A55" s="1"/>
      <c r="B55" s="1"/>
      <c r="C55" s="37"/>
      <c r="D55" s="1"/>
    </row>
    <row r="56" spans="1:4">
      <c r="A56" s="1"/>
      <c r="B56" s="1"/>
      <c r="C56" s="37"/>
      <c r="D56" s="1"/>
    </row>
    <row r="57" spans="1:4">
      <c r="A57" s="1"/>
      <c r="B57" s="1"/>
      <c r="C57" s="37"/>
      <c r="D57" s="1"/>
    </row>
    <row r="58" spans="1:4">
      <c r="A58" s="1"/>
      <c r="B58" s="1"/>
      <c r="C58" s="37"/>
      <c r="D58" s="1"/>
    </row>
    <row r="59" spans="1:4">
      <c r="A59" s="1"/>
      <c r="B59" s="1"/>
      <c r="C59" s="37"/>
      <c r="D59" s="1"/>
    </row>
    <row r="60" spans="1:4">
      <c r="A60" s="1"/>
      <c r="B60" s="1"/>
      <c r="C60" s="37"/>
      <c r="D60" s="1"/>
    </row>
    <row r="61" spans="1:4">
      <c r="A61" s="1"/>
      <c r="B61" s="1"/>
      <c r="C61" s="37"/>
      <c r="D61" s="1"/>
    </row>
    <row r="62" spans="1:4">
      <c r="A62" s="1"/>
      <c r="B62" s="1"/>
      <c r="C62" s="37"/>
      <c r="D62" s="1"/>
    </row>
    <row r="63" spans="1:4">
      <c r="A63" s="1"/>
      <c r="B63" s="1"/>
      <c r="C63" s="37"/>
      <c r="D63" s="1"/>
    </row>
    <row r="64" spans="1:4">
      <c r="A64" s="1"/>
      <c r="B64" s="1"/>
      <c r="C64" s="37"/>
      <c r="D64" s="1"/>
    </row>
    <row r="65" spans="1:4">
      <c r="A65" s="1"/>
      <c r="B65" s="1"/>
      <c r="C65" s="37"/>
      <c r="D65" s="1"/>
    </row>
    <row r="66" spans="1:4">
      <c r="A66" s="1"/>
      <c r="B66" s="1"/>
      <c r="C66" s="1"/>
    </row>
    <row r="67" spans="1:4">
      <c r="A67" s="1"/>
      <c r="B67" s="1"/>
      <c r="C67" s="1"/>
    </row>
    <row r="68" spans="1:4">
      <c r="A68" s="1"/>
      <c r="B68" s="1"/>
      <c r="C68" s="1"/>
    </row>
    <row r="69" spans="1:4">
      <c r="A69" s="1"/>
      <c r="B69" s="1"/>
      <c r="C69" s="1"/>
    </row>
    <row r="70" spans="1:4">
      <c r="A70" s="1"/>
      <c r="B70" s="1"/>
      <c r="C70" s="1"/>
    </row>
  </sheetData>
  <mergeCells count="17">
    <mergeCell ref="A1:B1"/>
    <mergeCell ref="E1:H1"/>
    <mergeCell ref="A2:D2"/>
    <mergeCell ref="E2:H2"/>
    <mergeCell ref="A3:A5"/>
    <mergeCell ref="B3:B5"/>
    <mergeCell ref="C3:D4"/>
    <mergeCell ref="E3:J3"/>
    <mergeCell ref="A23:L23"/>
    <mergeCell ref="A26:L26"/>
    <mergeCell ref="A30:L30"/>
    <mergeCell ref="K3:L4"/>
    <mergeCell ref="E4:F4"/>
    <mergeCell ref="G4:H4"/>
    <mergeCell ref="I4:J4"/>
    <mergeCell ref="A6:L6"/>
    <mergeCell ref="A12:L12"/>
  </mergeCells>
  <pageMargins left="0.32291666666666669" right="0.7" top="0.29166666666666669" bottom="0.44791666666666669" header="0.3" footer="0.3"/>
  <pageSetup paperSize="9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69"/>
  <sheetViews>
    <sheetView topLeftCell="A10" zoomScaleNormal="100" workbookViewId="0">
      <selection activeCell="A26" sqref="A26:L26"/>
    </sheetView>
  </sheetViews>
  <sheetFormatPr defaultRowHeight="15"/>
  <cols>
    <col min="1" max="1" width="10.5703125" style="73" customWidth="1"/>
    <col min="2" max="2" width="37" style="73" customWidth="1"/>
    <col min="3" max="3" width="7.28515625" style="73" customWidth="1"/>
    <col min="4" max="4" width="9" style="73" customWidth="1"/>
    <col min="5" max="5" width="6.7109375" style="73" customWidth="1"/>
    <col min="6" max="6" width="6.85546875" style="73" customWidth="1"/>
    <col min="7" max="7" width="6.42578125" style="73" customWidth="1"/>
    <col min="8" max="8" width="6.5703125" style="73" customWidth="1"/>
    <col min="9" max="9" width="7.5703125" style="73" customWidth="1"/>
    <col min="10" max="10" width="7.42578125" style="73" customWidth="1"/>
    <col min="11" max="11" width="9.7109375" style="73" customWidth="1"/>
    <col min="12" max="12" width="9.42578125" style="73" customWidth="1"/>
    <col min="13" max="13" width="9" style="73" customWidth="1"/>
    <col min="14" max="14" width="7.28515625" style="73" customWidth="1"/>
    <col min="15" max="18" width="9.140625" style="73"/>
    <col min="19" max="19" width="19.7109375" style="73" customWidth="1"/>
    <col min="20" max="20" width="7.7109375" style="73" customWidth="1"/>
    <col min="21" max="21" width="9.140625" style="73"/>
    <col min="22" max="22" width="7.7109375" style="73" customWidth="1"/>
    <col min="23" max="16384" width="9.140625" style="73"/>
  </cols>
  <sheetData>
    <row r="1" spans="1:24" ht="15.75">
      <c r="A1" s="107" t="s">
        <v>122</v>
      </c>
      <c r="B1" s="107"/>
      <c r="C1" s="60"/>
      <c r="D1" s="60"/>
      <c r="E1" s="108" t="s">
        <v>170</v>
      </c>
      <c r="F1" s="108"/>
      <c r="G1" s="108"/>
      <c r="H1" s="108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5.75">
      <c r="A2" s="109" t="s">
        <v>123</v>
      </c>
      <c r="B2" s="109"/>
      <c r="C2" s="109"/>
      <c r="D2" s="109"/>
      <c r="E2" s="109" t="s">
        <v>195</v>
      </c>
      <c r="F2" s="109"/>
      <c r="G2" s="109"/>
      <c r="H2" s="109"/>
      <c r="I2" s="61"/>
      <c r="J2" s="61"/>
      <c r="K2" s="61"/>
      <c r="L2" s="61"/>
      <c r="M2" s="36"/>
      <c r="N2" s="36"/>
      <c r="O2" s="1"/>
      <c r="P2" s="1"/>
      <c r="Q2" s="1"/>
      <c r="R2" s="1"/>
      <c r="S2" s="36"/>
      <c r="T2" s="36"/>
      <c r="U2" s="1"/>
      <c r="V2" s="1"/>
      <c r="W2" s="1"/>
      <c r="X2" s="1"/>
    </row>
    <row r="3" spans="1:24" ht="15" customHeight="1">
      <c r="A3" s="110" t="s">
        <v>0</v>
      </c>
      <c r="B3" s="113" t="s">
        <v>1</v>
      </c>
      <c r="C3" s="116" t="s">
        <v>8</v>
      </c>
      <c r="D3" s="117"/>
      <c r="E3" s="103" t="s">
        <v>9</v>
      </c>
      <c r="F3" s="103"/>
      <c r="G3" s="103"/>
      <c r="H3" s="103"/>
      <c r="I3" s="103"/>
      <c r="J3" s="103"/>
      <c r="K3" s="102" t="s">
        <v>7</v>
      </c>
      <c r="L3" s="102"/>
      <c r="M3" s="1"/>
      <c r="N3" s="37"/>
      <c r="O3" s="40"/>
      <c r="P3" s="40"/>
      <c r="Q3" s="40"/>
      <c r="R3" s="40"/>
      <c r="S3" s="1"/>
      <c r="T3" s="37"/>
      <c r="U3" s="40"/>
      <c r="V3" s="40"/>
      <c r="W3" s="40"/>
      <c r="X3" s="40"/>
    </row>
    <row r="4" spans="1:24">
      <c r="A4" s="111"/>
      <c r="B4" s="114"/>
      <c r="C4" s="116"/>
      <c r="D4" s="117"/>
      <c r="E4" s="103" t="s">
        <v>5</v>
      </c>
      <c r="F4" s="103"/>
      <c r="G4" s="102" t="s">
        <v>4</v>
      </c>
      <c r="H4" s="102"/>
      <c r="I4" s="103" t="s">
        <v>6</v>
      </c>
      <c r="J4" s="103"/>
      <c r="K4" s="102"/>
      <c r="L4" s="102"/>
      <c r="M4" s="1"/>
      <c r="N4" s="37"/>
      <c r="O4" s="40"/>
      <c r="P4" s="40"/>
      <c r="Q4" s="40"/>
      <c r="R4" s="40"/>
      <c r="S4" s="1"/>
      <c r="T4" s="37"/>
      <c r="U4" s="40"/>
      <c r="V4" s="40"/>
      <c r="W4" s="40"/>
      <c r="X4" s="40"/>
    </row>
    <row r="5" spans="1:24" ht="63">
      <c r="A5" s="112"/>
      <c r="B5" s="115"/>
      <c r="C5" s="75" t="s">
        <v>128</v>
      </c>
      <c r="D5" s="76" t="s">
        <v>127</v>
      </c>
      <c r="E5" s="75" t="s">
        <v>128</v>
      </c>
      <c r="F5" s="76" t="s">
        <v>127</v>
      </c>
      <c r="G5" s="75" t="s">
        <v>128</v>
      </c>
      <c r="H5" s="76" t="s">
        <v>127</v>
      </c>
      <c r="I5" s="75" t="s">
        <v>128</v>
      </c>
      <c r="J5" s="76" t="s">
        <v>127</v>
      </c>
      <c r="K5" s="75" t="s">
        <v>128</v>
      </c>
      <c r="L5" s="77" t="s">
        <v>127</v>
      </c>
      <c r="M5" s="1"/>
      <c r="N5" s="37"/>
      <c r="O5" s="40"/>
      <c r="P5" s="40"/>
      <c r="Q5" s="40"/>
      <c r="R5" s="40"/>
      <c r="S5" s="1"/>
      <c r="T5" s="37"/>
      <c r="U5" s="40"/>
      <c r="V5" s="40"/>
      <c r="W5" s="40"/>
      <c r="X5" s="40"/>
    </row>
    <row r="6" spans="1:24">
      <c r="A6" s="99" t="s">
        <v>10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1"/>
      <c r="M6" s="1"/>
      <c r="N6" s="37"/>
      <c r="O6" s="40"/>
      <c r="P6" s="40"/>
      <c r="Q6" s="40"/>
      <c r="R6" s="40"/>
      <c r="S6" s="1"/>
      <c r="T6" s="37"/>
      <c r="U6" s="40"/>
      <c r="V6" s="40"/>
      <c r="W6" s="40"/>
      <c r="X6" s="40"/>
    </row>
    <row r="7" spans="1:24">
      <c r="A7" s="47" t="s">
        <v>194</v>
      </c>
      <c r="B7" s="74" t="s">
        <v>23</v>
      </c>
      <c r="C7" s="15">
        <v>160</v>
      </c>
      <c r="D7" s="20">
        <v>200</v>
      </c>
      <c r="E7" s="13">
        <f>C7*17.1/100</f>
        <v>27.36</v>
      </c>
      <c r="F7" s="17">
        <f>D7*17.1/100</f>
        <v>34.200000000000003</v>
      </c>
      <c r="G7" s="13">
        <f>C7*12.2/100</f>
        <v>19.52</v>
      </c>
      <c r="H7" s="17">
        <f>D7*12.2/100</f>
        <v>24.4</v>
      </c>
      <c r="I7" s="13">
        <f>C7*15.5/100</f>
        <v>24.8</v>
      </c>
      <c r="J7" s="17">
        <f>D7*15.5/100</f>
        <v>31</v>
      </c>
      <c r="K7" s="15">
        <f t="shared" ref="K7:L10" si="0">E7*4+G7*9+I7*4</f>
        <v>384.32</v>
      </c>
      <c r="L7" s="17">
        <f t="shared" si="0"/>
        <v>480.4</v>
      </c>
      <c r="M7" s="1"/>
      <c r="N7" s="37"/>
      <c r="O7" s="40"/>
      <c r="P7" s="40"/>
      <c r="Q7" s="40"/>
      <c r="R7" s="40"/>
      <c r="S7" s="1"/>
      <c r="T7" s="37"/>
      <c r="U7" s="40"/>
      <c r="V7" s="40"/>
      <c r="W7" s="40"/>
      <c r="X7" s="40"/>
    </row>
    <row r="8" spans="1:24">
      <c r="A8" s="65"/>
      <c r="B8" s="2" t="s">
        <v>2</v>
      </c>
      <c r="C8" s="14">
        <v>30</v>
      </c>
      <c r="D8" s="21">
        <v>40</v>
      </c>
      <c r="E8" s="14">
        <f>C8*7.5/100</f>
        <v>2.25</v>
      </c>
      <c r="F8" s="27">
        <f>D8*7.5/100</f>
        <v>3</v>
      </c>
      <c r="G8" s="13">
        <f>C8*2.9/100</f>
        <v>0.87</v>
      </c>
      <c r="H8" s="18">
        <f>D8*2.9/100</f>
        <v>1.1599999999999999</v>
      </c>
      <c r="I8" s="15">
        <f>C8*51.4/100</f>
        <v>15.42</v>
      </c>
      <c r="J8" s="18">
        <f>D8*51.4/100</f>
        <v>20.56</v>
      </c>
      <c r="K8" s="15">
        <f t="shared" si="0"/>
        <v>78.509999999999991</v>
      </c>
      <c r="L8" s="18">
        <f t="shared" si="0"/>
        <v>104.67999999999999</v>
      </c>
      <c r="M8" s="1"/>
      <c r="N8" s="37"/>
      <c r="O8" s="40"/>
      <c r="P8" s="40"/>
      <c r="Q8" s="40"/>
      <c r="R8" s="40"/>
      <c r="S8" s="1"/>
      <c r="T8" s="37"/>
      <c r="U8" s="40"/>
      <c r="V8" s="40"/>
      <c r="W8" s="40"/>
      <c r="X8" s="40"/>
    </row>
    <row r="9" spans="1:24">
      <c r="A9" s="65" t="s">
        <v>129</v>
      </c>
      <c r="B9" s="5" t="s">
        <v>15</v>
      </c>
      <c r="C9" s="15">
        <v>200</v>
      </c>
      <c r="D9" s="18">
        <v>200</v>
      </c>
      <c r="E9" s="13">
        <f>C9*0.3/200</f>
        <v>0.3</v>
      </c>
      <c r="F9" s="17">
        <f>D9*0.3/200</f>
        <v>0.3</v>
      </c>
      <c r="G9" s="24">
        <f>C9*0/200</f>
        <v>0</v>
      </c>
      <c r="H9" s="17">
        <f>D9*0/200</f>
        <v>0</v>
      </c>
      <c r="I9" s="13">
        <f>C9*15.2/200</f>
        <v>15.2</v>
      </c>
      <c r="J9" s="17">
        <f>D9*15.2/200</f>
        <v>15.2</v>
      </c>
      <c r="K9" s="13">
        <f t="shared" si="0"/>
        <v>62</v>
      </c>
      <c r="L9" s="17">
        <f t="shared" si="0"/>
        <v>62</v>
      </c>
      <c r="M9" s="1"/>
      <c r="N9" s="37"/>
      <c r="O9" s="40"/>
      <c r="P9" s="40"/>
      <c r="Q9" s="40"/>
      <c r="R9" s="40"/>
      <c r="S9" s="1"/>
      <c r="T9" s="37"/>
      <c r="U9" s="40"/>
      <c r="V9" s="40"/>
      <c r="W9" s="40"/>
      <c r="X9" s="40"/>
    </row>
    <row r="10" spans="1:24">
      <c r="A10" s="64"/>
      <c r="B10" s="7" t="s">
        <v>19</v>
      </c>
      <c r="C10" s="62">
        <f t="shared" ref="C10:J10" si="1">SUM(C7:C9)</f>
        <v>390</v>
      </c>
      <c r="D10" s="23">
        <f t="shared" si="1"/>
        <v>440</v>
      </c>
      <c r="E10" s="10">
        <f t="shared" si="1"/>
        <v>29.91</v>
      </c>
      <c r="F10" s="16">
        <f t="shared" si="1"/>
        <v>37.5</v>
      </c>
      <c r="G10" s="10">
        <f t="shared" si="1"/>
        <v>20.39</v>
      </c>
      <c r="H10" s="16">
        <f t="shared" si="1"/>
        <v>25.56</v>
      </c>
      <c r="I10" s="10">
        <f t="shared" si="1"/>
        <v>55.42</v>
      </c>
      <c r="J10" s="16">
        <f t="shared" si="1"/>
        <v>66.760000000000005</v>
      </c>
      <c r="K10" s="10">
        <f t="shared" si="0"/>
        <v>524.82999999999993</v>
      </c>
      <c r="L10" s="16">
        <f t="shared" si="0"/>
        <v>647.07999999999993</v>
      </c>
      <c r="M10" s="1"/>
      <c r="N10" s="37"/>
      <c r="O10" s="40"/>
      <c r="P10" s="40"/>
      <c r="Q10" s="40"/>
      <c r="R10" s="40"/>
      <c r="S10" s="1"/>
      <c r="T10" s="37"/>
      <c r="U10" s="40"/>
      <c r="V10" s="40"/>
      <c r="W10" s="40"/>
      <c r="X10" s="40"/>
    </row>
    <row r="11" spans="1:24">
      <c r="A11" s="104" t="s">
        <v>11</v>
      </c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6"/>
      <c r="M11" s="1"/>
      <c r="N11" s="37"/>
      <c r="O11" s="40"/>
      <c r="P11" s="40"/>
      <c r="Q11" s="40"/>
      <c r="R11" s="40"/>
      <c r="S11" s="1"/>
      <c r="T11" s="37"/>
      <c r="U11" s="40"/>
      <c r="V11" s="40"/>
      <c r="W11" s="40"/>
      <c r="X11" s="40"/>
    </row>
    <row r="12" spans="1:24">
      <c r="A12" s="47"/>
      <c r="B12" s="5" t="s">
        <v>21</v>
      </c>
      <c r="C12" s="15">
        <v>60</v>
      </c>
      <c r="D12" s="25">
        <v>100</v>
      </c>
      <c r="E12" s="13">
        <f>C12*1/100</f>
        <v>0.6</v>
      </c>
      <c r="F12" s="17">
        <f>D12*1/100</f>
        <v>1</v>
      </c>
      <c r="G12" s="13">
        <f>C12*7/100</f>
        <v>4.2</v>
      </c>
      <c r="H12" s="17">
        <f>D12*7/100</f>
        <v>7</v>
      </c>
      <c r="I12" s="13">
        <f>C12*7/100</f>
        <v>4.2</v>
      </c>
      <c r="J12" s="17">
        <f>D12*7/100</f>
        <v>7</v>
      </c>
      <c r="K12" s="83">
        <f t="shared" ref="K12:L27" si="2">E12*4+G12*9+I12*4</f>
        <v>57</v>
      </c>
      <c r="L12" s="84">
        <f t="shared" si="2"/>
        <v>95</v>
      </c>
      <c r="M12" s="1"/>
      <c r="N12" s="37"/>
      <c r="O12" s="40"/>
      <c r="P12" s="40"/>
      <c r="Q12" s="40"/>
      <c r="R12" s="40"/>
      <c r="S12" s="1"/>
      <c r="T12" s="37"/>
      <c r="U12" s="40"/>
      <c r="V12" s="40"/>
      <c r="W12" s="40"/>
      <c r="X12" s="40"/>
    </row>
    <row r="13" spans="1:24">
      <c r="A13" s="47" t="s">
        <v>196</v>
      </c>
      <c r="B13" s="2" t="s">
        <v>28</v>
      </c>
      <c r="C13" s="14">
        <v>200</v>
      </c>
      <c r="D13" s="54">
        <v>250</v>
      </c>
      <c r="E13" s="83">
        <f>C13*2/250</f>
        <v>1.6</v>
      </c>
      <c r="F13" s="84">
        <f>D13*2/250</f>
        <v>2</v>
      </c>
      <c r="G13" s="83">
        <f>C13*5.2/250</f>
        <v>4.16</v>
      </c>
      <c r="H13" s="84">
        <f>D13*5.2/250</f>
        <v>5.2</v>
      </c>
      <c r="I13" s="83">
        <f>C13*13.1/250</f>
        <v>10.48</v>
      </c>
      <c r="J13" s="84">
        <f>D13*13.1/250</f>
        <v>13.1</v>
      </c>
      <c r="K13" s="83">
        <f t="shared" si="2"/>
        <v>85.759999999999991</v>
      </c>
      <c r="L13" s="84">
        <f t="shared" si="2"/>
        <v>107.2</v>
      </c>
      <c r="M13" s="1"/>
      <c r="N13" s="37"/>
      <c r="O13" s="40"/>
      <c r="P13" s="40"/>
      <c r="Q13" s="40"/>
      <c r="R13" s="40"/>
      <c r="S13" s="1"/>
      <c r="T13" s="37"/>
      <c r="U13" s="40"/>
      <c r="V13" s="40"/>
      <c r="W13" s="40"/>
      <c r="X13" s="40"/>
    </row>
    <row r="14" spans="1:24">
      <c r="A14" s="47"/>
      <c r="B14" s="5" t="s">
        <v>161</v>
      </c>
      <c r="C14" s="15">
        <v>10</v>
      </c>
      <c r="D14" s="18">
        <v>10</v>
      </c>
      <c r="E14" s="15">
        <f>C14*2.6/100</f>
        <v>0.26</v>
      </c>
      <c r="F14" s="18">
        <f>D14*2.6/100</f>
        <v>0.26</v>
      </c>
      <c r="G14" s="13">
        <f>C14*15/100</f>
        <v>1.5</v>
      </c>
      <c r="H14" s="17">
        <f>D14*15/100</f>
        <v>1.5</v>
      </c>
      <c r="I14" s="15">
        <f>C14*3.6/100</f>
        <v>0.36</v>
      </c>
      <c r="J14" s="18">
        <f>D14*3.6/100</f>
        <v>0.36</v>
      </c>
      <c r="K14" s="13">
        <f t="shared" si="2"/>
        <v>15.979999999999999</v>
      </c>
      <c r="L14" s="17">
        <f t="shared" si="2"/>
        <v>15.979999999999999</v>
      </c>
      <c r="M14" s="32"/>
      <c r="N14" s="32"/>
      <c r="O14" s="40"/>
      <c r="P14" s="40"/>
      <c r="Q14" s="40"/>
      <c r="R14" s="40"/>
      <c r="S14" s="1"/>
      <c r="T14" s="37"/>
      <c r="U14" s="40"/>
      <c r="V14" s="40"/>
      <c r="W14" s="40"/>
      <c r="X14" s="40"/>
    </row>
    <row r="15" spans="1:24">
      <c r="A15" s="47" t="s">
        <v>197</v>
      </c>
      <c r="B15" s="2" t="s">
        <v>198</v>
      </c>
      <c r="C15" s="15">
        <v>150</v>
      </c>
      <c r="D15" s="18">
        <v>180</v>
      </c>
      <c r="E15" s="13">
        <f>C15*5.9/100</f>
        <v>8.85</v>
      </c>
      <c r="F15" s="17">
        <f>D15*5.9/100</f>
        <v>10.62</v>
      </c>
      <c r="G15" s="13">
        <f>C15*3.4/100</f>
        <v>5.0999999999999996</v>
      </c>
      <c r="H15" s="17">
        <f>D15*3.4/100</f>
        <v>6.12</v>
      </c>
      <c r="I15" s="13">
        <f>C15*31.6/100</f>
        <v>47.4</v>
      </c>
      <c r="J15" s="17">
        <f>D15*31.6/100</f>
        <v>56.88</v>
      </c>
      <c r="K15" s="13">
        <f t="shared" si="2"/>
        <v>270.89999999999998</v>
      </c>
      <c r="L15" s="17">
        <f t="shared" si="2"/>
        <v>325.08000000000004</v>
      </c>
      <c r="M15" s="1"/>
      <c r="N15" s="37"/>
      <c r="O15" s="40"/>
      <c r="P15" s="40"/>
      <c r="Q15" s="40"/>
      <c r="R15" s="40"/>
      <c r="S15" s="1"/>
      <c r="T15" s="37"/>
      <c r="U15" s="40"/>
      <c r="V15" s="40"/>
      <c r="W15" s="40"/>
      <c r="X15" s="40"/>
    </row>
    <row r="16" spans="1:24">
      <c r="A16" s="47" t="s">
        <v>199</v>
      </c>
      <c r="B16" s="2" t="s">
        <v>200</v>
      </c>
      <c r="C16" s="15">
        <v>90</v>
      </c>
      <c r="D16" s="18">
        <v>100</v>
      </c>
      <c r="E16" s="13">
        <f>C16*13.9/100</f>
        <v>12.51</v>
      </c>
      <c r="F16" s="17">
        <f>D16*13.9/100</f>
        <v>13.9</v>
      </c>
      <c r="G16" s="13">
        <f>C16*6.5/100</f>
        <v>5.85</v>
      </c>
      <c r="H16" s="17">
        <f>D16*6.5/100</f>
        <v>6.5</v>
      </c>
      <c r="I16" s="13">
        <f>C16*4/100</f>
        <v>3.6</v>
      </c>
      <c r="J16" s="17">
        <f>D16*4/100</f>
        <v>4</v>
      </c>
      <c r="K16" s="13">
        <f t="shared" si="2"/>
        <v>117.09</v>
      </c>
      <c r="L16" s="17">
        <f t="shared" si="2"/>
        <v>130.1</v>
      </c>
      <c r="M16" s="1"/>
      <c r="N16" s="37"/>
      <c r="O16" s="40"/>
      <c r="P16" s="40"/>
      <c r="Q16" s="40"/>
      <c r="R16" s="40"/>
      <c r="S16" s="1"/>
      <c r="T16" s="37"/>
      <c r="U16" s="40"/>
      <c r="V16" s="40"/>
      <c r="W16" s="40"/>
      <c r="X16" s="40"/>
    </row>
    <row r="17" spans="1:24">
      <c r="A17" s="65" t="s">
        <v>203</v>
      </c>
      <c r="B17" s="5" t="s">
        <v>15</v>
      </c>
      <c r="C17" s="15">
        <v>200</v>
      </c>
      <c r="D17" s="18">
        <v>200</v>
      </c>
      <c r="E17" s="13">
        <f>C17*0.3/200</f>
        <v>0.3</v>
      </c>
      <c r="F17" s="17">
        <f>D17*0.3/200</f>
        <v>0.3</v>
      </c>
      <c r="G17" s="24">
        <f>C17*0/200</f>
        <v>0</v>
      </c>
      <c r="H17" s="17">
        <f>D17*0/200</f>
        <v>0</v>
      </c>
      <c r="I17" s="13">
        <f>C17*15.2/200</f>
        <v>15.2</v>
      </c>
      <c r="J17" s="17">
        <f>D17*15.2/200</f>
        <v>15.2</v>
      </c>
      <c r="K17" s="13">
        <f t="shared" si="2"/>
        <v>62</v>
      </c>
      <c r="L17" s="17">
        <f t="shared" si="2"/>
        <v>62</v>
      </c>
      <c r="M17" s="1"/>
      <c r="N17" s="37"/>
      <c r="O17" s="40"/>
      <c r="P17" s="40"/>
      <c r="Q17" s="40"/>
      <c r="R17" s="40"/>
      <c r="S17" s="1"/>
      <c r="T17" s="37"/>
      <c r="U17" s="40"/>
      <c r="V17" s="40"/>
      <c r="W17" s="40"/>
      <c r="X17" s="40"/>
    </row>
    <row r="18" spans="1:24">
      <c r="A18" s="65"/>
      <c r="B18" s="5" t="s">
        <v>217</v>
      </c>
      <c r="C18" s="15">
        <v>30</v>
      </c>
      <c r="D18" s="18">
        <v>40</v>
      </c>
      <c r="E18" s="13">
        <f>C18*6.6/100</f>
        <v>1.98</v>
      </c>
      <c r="F18" s="17">
        <f>D18*6.6/100</f>
        <v>2.64</v>
      </c>
      <c r="G18" s="13">
        <f>C18*1.1/100</f>
        <v>0.33</v>
      </c>
      <c r="H18" s="17">
        <f>D18*1.1/100</f>
        <v>0.44</v>
      </c>
      <c r="I18" s="13">
        <f>C18*43.9/100</f>
        <v>13.17</v>
      </c>
      <c r="J18" s="17">
        <f>D18*43.9/100</f>
        <v>17.559999999999999</v>
      </c>
      <c r="K18" s="13">
        <f t="shared" si="2"/>
        <v>63.57</v>
      </c>
      <c r="L18" s="17">
        <f t="shared" si="2"/>
        <v>84.759999999999991</v>
      </c>
      <c r="M18" s="1"/>
      <c r="N18" s="37"/>
      <c r="O18" s="40"/>
      <c r="P18" s="40"/>
      <c r="Q18" s="40"/>
      <c r="R18" s="40"/>
      <c r="S18" s="1"/>
      <c r="T18" s="37"/>
      <c r="U18" s="40"/>
      <c r="V18" s="40"/>
      <c r="W18" s="40"/>
      <c r="X18" s="40"/>
    </row>
    <row r="19" spans="1:24">
      <c r="A19" s="65"/>
      <c r="B19" s="5" t="s">
        <v>216</v>
      </c>
      <c r="C19" s="15">
        <v>30</v>
      </c>
      <c r="D19" s="18">
        <v>40</v>
      </c>
      <c r="E19" s="13">
        <f>C19*7.7/100</f>
        <v>2.31</v>
      </c>
      <c r="F19" s="17">
        <f>D19*7.7/100</f>
        <v>3.08</v>
      </c>
      <c r="G19" s="13">
        <f>C19*0.8/100</f>
        <v>0.24</v>
      </c>
      <c r="H19" s="17">
        <f>D19*0.8/100</f>
        <v>0.32</v>
      </c>
      <c r="I19" s="13">
        <f>C19*49.5/100</f>
        <v>14.85</v>
      </c>
      <c r="J19" s="17">
        <f>D19*49.5/100</f>
        <v>19.8</v>
      </c>
      <c r="K19" s="13">
        <f t="shared" si="2"/>
        <v>70.8</v>
      </c>
      <c r="L19" s="17">
        <f t="shared" si="2"/>
        <v>94.4</v>
      </c>
      <c r="M19" s="1"/>
      <c r="N19" s="37"/>
      <c r="O19" s="40"/>
      <c r="P19" s="40"/>
      <c r="Q19" s="40"/>
      <c r="R19" s="40"/>
      <c r="S19" s="1"/>
      <c r="T19" s="37"/>
      <c r="U19" s="40"/>
      <c r="V19" s="40"/>
      <c r="W19" s="40"/>
      <c r="X19" s="40"/>
    </row>
    <row r="20" spans="1:24">
      <c r="A20" s="65"/>
      <c r="B20" s="5" t="s">
        <v>248</v>
      </c>
      <c r="C20" s="15">
        <v>100</v>
      </c>
      <c r="D20" s="18">
        <v>100</v>
      </c>
      <c r="E20" s="13">
        <v>0.4</v>
      </c>
      <c r="F20" s="17">
        <v>0.4</v>
      </c>
      <c r="G20" s="13">
        <v>0.4</v>
      </c>
      <c r="H20" s="17">
        <v>0.4</v>
      </c>
      <c r="I20" s="13">
        <v>9.8000000000000007</v>
      </c>
      <c r="J20" s="17">
        <v>9.8000000000000007</v>
      </c>
      <c r="K20" s="13">
        <f t="shared" si="2"/>
        <v>44.400000000000006</v>
      </c>
      <c r="L20" s="17">
        <f t="shared" si="2"/>
        <v>44.400000000000006</v>
      </c>
      <c r="M20" s="1"/>
      <c r="N20" s="37"/>
      <c r="O20" s="40"/>
      <c r="P20" s="40"/>
      <c r="Q20" s="40"/>
      <c r="R20" s="40"/>
      <c r="S20" s="1"/>
      <c r="T20" s="37"/>
      <c r="U20" s="40"/>
      <c r="V20" s="40"/>
      <c r="W20" s="40"/>
      <c r="X20" s="40"/>
    </row>
    <row r="21" spans="1:24">
      <c r="A21" s="65"/>
      <c r="B21" s="7" t="s">
        <v>20</v>
      </c>
      <c r="C21" s="62">
        <f t="shared" ref="C21:L21" si="3">SUM(C12:C20)</f>
        <v>870</v>
      </c>
      <c r="D21" s="28">
        <f t="shared" si="3"/>
        <v>1020</v>
      </c>
      <c r="E21" s="62">
        <f t="shared" si="3"/>
        <v>28.81</v>
      </c>
      <c r="F21" s="16">
        <f t="shared" si="3"/>
        <v>34.200000000000003</v>
      </c>
      <c r="G21" s="62">
        <f t="shared" si="3"/>
        <v>21.779999999999994</v>
      </c>
      <c r="H21" s="16">
        <f t="shared" si="3"/>
        <v>27.48</v>
      </c>
      <c r="I21" s="62">
        <f t="shared" si="3"/>
        <v>119.05999999999999</v>
      </c>
      <c r="J21" s="16">
        <f t="shared" si="3"/>
        <v>143.70000000000002</v>
      </c>
      <c r="K21" s="10">
        <f t="shared" si="3"/>
        <v>787.5</v>
      </c>
      <c r="L21" s="16">
        <f t="shared" si="3"/>
        <v>958.92</v>
      </c>
      <c r="M21" s="1"/>
      <c r="N21" s="37"/>
      <c r="O21" s="40"/>
      <c r="P21" s="40"/>
      <c r="Q21" s="40"/>
      <c r="R21" s="40"/>
      <c r="S21" s="1"/>
      <c r="T21" s="37"/>
      <c r="U21" s="40"/>
      <c r="V21" s="40"/>
      <c r="W21" s="40"/>
      <c r="X21" s="40"/>
    </row>
    <row r="22" spans="1:24">
      <c r="A22" s="99"/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1"/>
      <c r="M22" s="1"/>
      <c r="N22" s="37"/>
      <c r="O22" s="40"/>
      <c r="P22" s="40"/>
      <c r="Q22" s="40"/>
      <c r="R22" s="40"/>
      <c r="S22" s="1"/>
      <c r="T22" s="37"/>
      <c r="U22" s="40"/>
      <c r="V22" s="40"/>
      <c r="W22" s="40"/>
      <c r="X22" s="40"/>
    </row>
    <row r="23" spans="1:24">
      <c r="A23" s="29"/>
      <c r="B23" s="30" t="s">
        <v>16</v>
      </c>
      <c r="C23" s="31"/>
      <c r="D23" s="31"/>
      <c r="E23" s="33">
        <f t="shared" ref="E23:L23" si="4">E10+E21</f>
        <v>58.72</v>
      </c>
      <c r="F23" s="34">
        <f t="shared" si="4"/>
        <v>71.7</v>
      </c>
      <c r="G23" s="33">
        <f t="shared" si="4"/>
        <v>42.169999999999995</v>
      </c>
      <c r="H23" s="34">
        <f t="shared" si="4"/>
        <v>53.04</v>
      </c>
      <c r="I23" s="33">
        <f t="shared" si="4"/>
        <v>174.48</v>
      </c>
      <c r="J23" s="34">
        <f t="shared" si="4"/>
        <v>210.46000000000004</v>
      </c>
      <c r="K23" s="33">
        <f t="shared" si="4"/>
        <v>1312.33</v>
      </c>
      <c r="L23" s="34">
        <f t="shared" si="4"/>
        <v>1606</v>
      </c>
      <c r="M23" s="1"/>
      <c r="N23" s="37"/>
      <c r="O23" s="40"/>
      <c r="P23" s="40"/>
      <c r="Q23" s="40"/>
      <c r="R23" s="40"/>
      <c r="S23" s="1"/>
      <c r="T23" s="37"/>
      <c r="U23" s="40"/>
      <c r="V23" s="40"/>
      <c r="W23" s="40"/>
      <c r="X23" s="40"/>
    </row>
    <row r="24" spans="1:24">
      <c r="A24" s="65"/>
      <c r="B24" s="39" t="s">
        <v>30</v>
      </c>
      <c r="C24" s="38"/>
      <c r="D24" s="38"/>
      <c r="E24" s="79">
        <v>46.2</v>
      </c>
      <c r="F24" s="80">
        <v>54</v>
      </c>
      <c r="G24" s="79">
        <v>47.4</v>
      </c>
      <c r="H24" s="79">
        <v>55.2</v>
      </c>
      <c r="I24" s="80">
        <v>201</v>
      </c>
      <c r="J24" s="79">
        <v>229.8</v>
      </c>
      <c r="K24" s="80">
        <v>1410</v>
      </c>
      <c r="L24" s="80">
        <v>1632</v>
      </c>
      <c r="M24" s="1"/>
      <c r="N24" s="37"/>
      <c r="O24" s="40"/>
      <c r="P24" s="40"/>
      <c r="Q24" s="40"/>
      <c r="R24" s="40"/>
      <c r="S24" s="1"/>
      <c r="T24" s="37"/>
      <c r="U24" s="40"/>
      <c r="V24" s="40"/>
      <c r="W24" s="40"/>
      <c r="X24" s="40"/>
    </row>
    <row r="25" spans="1:24">
      <c r="A25" s="99" t="s">
        <v>35</v>
      </c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1"/>
      <c r="M25" s="1"/>
      <c r="N25" s="37"/>
      <c r="O25" s="40"/>
      <c r="P25" s="40"/>
      <c r="Q25" s="40"/>
      <c r="R25" s="40"/>
      <c r="S25" s="1"/>
      <c r="T25" s="37"/>
      <c r="U25" s="40"/>
      <c r="V25" s="40"/>
      <c r="W25" s="40"/>
      <c r="X25" s="40"/>
    </row>
    <row r="26" spans="1:24">
      <c r="A26" s="47" t="s">
        <v>202</v>
      </c>
      <c r="B26" s="2" t="s">
        <v>201</v>
      </c>
      <c r="C26" s="15">
        <v>75</v>
      </c>
      <c r="D26" s="18">
        <v>75</v>
      </c>
      <c r="E26" s="13">
        <f>C26*3.9/60</f>
        <v>4.875</v>
      </c>
      <c r="F26" s="17">
        <f>D26*3.9/60</f>
        <v>4.875</v>
      </c>
      <c r="G26" s="13">
        <f>C26*3.71/60</f>
        <v>4.6375000000000002</v>
      </c>
      <c r="H26" s="17">
        <f>D26*3.71/60</f>
        <v>4.6375000000000002</v>
      </c>
      <c r="I26" s="13">
        <f>C26*20.76/60</f>
        <v>25.950000000000003</v>
      </c>
      <c r="J26" s="17">
        <f>D26*20.76/60</f>
        <v>25.950000000000003</v>
      </c>
      <c r="K26" s="13">
        <f t="shared" si="2"/>
        <v>165.03750000000002</v>
      </c>
      <c r="L26" s="17">
        <f t="shared" si="2"/>
        <v>165.03750000000002</v>
      </c>
      <c r="M26" s="1"/>
      <c r="N26" s="37"/>
      <c r="O26" s="40"/>
      <c r="P26" s="40"/>
      <c r="Q26" s="40"/>
      <c r="R26" s="40"/>
      <c r="S26" s="1"/>
      <c r="T26" s="37"/>
      <c r="U26" s="40"/>
      <c r="V26" s="40"/>
      <c r="W26" s="40"/>
      <c r="X26" s="40"/>
    </row>
    <row r="27" spans="1:24">
      <c r="A27" s="65" t="s">
        <v>203</v>
      </c>
      <c r="B27" s="5" t="s">
        <v>15</v>
      </c>
      <c r="C27" s="15">
        <v>200</v>
      </c>
      <c r="D27" s="18">
        <v>200</v>
      </c>
      <c r="E27" s="13">
        <f>C27*0.3/200</f>
        <v>0.3</v>
      </c>
      <c r="F27" s="17">
        <f>D27*0.3/200</f>
        <v>0.3</v>
      </c>
      <c r="G27" s="24">
        <f>C27*0/200</f>
        <v>0</v>
      </c>
      <c r="H27" s="17">
        <f>D27*0/200</f>
        <v>0</v>
      </c>
      <c r="I27" s="13">
        <f>C27*15.2/200</f>
        <v>15.2</v>
      </c>
      <c r="J27" s="17">
        <f>D27*15.2/200</f>
        <v>15.2</v>
      </c>
      <c r="K27" s="13">
        <f t="shared" si="2"/>
        <v>62</v>
      </c>
      <c r="L27" s="17">
        <f t="shared" si="2"/>
        <v>62</v>
      </c>
      <c r="M27" s="1"/>
      <c r="N27" s="37"/>
      <c r="O27" s="40"/>
      <c r="P27" s="40"/>
      <c r="Q27" s="40"/>
      <c r="R27" s="40"/>
      <c r="S27" s="1"/>
      <c r="T27" s="37"/>
      <c r="U27" s="40"/>
      <c r="V27" s="40"/>
      <c r="W27" s="40"/>
      <c r="X27" s="40"/>
    </row>
    <row r="28" spans="1:24">
      <c r="A28" s="65"/>
      <c r="B28" s="7" t="s">
        <v>18</v>
      </c>
      <c r="C28" s="62">
        <f t="shared" ref="C28:L28" si="5">SUM(C26:C27)</f>
        <v>275</v>
      </c>
      <c r="D28" s="11">
        <f t="shared" si="5"/>
        <v>275</v>
      </c>
      <c r="E28" s="10">
        <f t="shared" si="5"/>
        <v>5.1749999999999998</v>
      </c>
      <c r="F28" s="16">
        <f t="shared" si="5"/>
        <v>5.1749999999999998</v>
      </c>
      <c r="G28" s="10">
        <f t="shared" si="5"/>
        <v>4.6375000000000002</v>
      </c>
      <c r="H28" s="11">
        <f t="shared" si="5"/>
        <v>4.6375000000000002</v>
      </c>
      <c r="I28" s="62">
        <f t="shared" si="5"/>
        <v>41.150000000000006</v>
      </c>
      <c r="J28" s="11">
        <f t="shared" si="5"/>
        <v>41.150000000000006</v>
      </c>
      <c r="K28" s="10">
        <f t="shared" si="5"/>
        <v>227.03750000000002</v>
      </c>
      <c r="L28" s="16">
        <f t="shared" si="5"/>
        <v>227.03750000000002</v>
      </c>
      <c r="M28" s="36"/>
      <c r="N28" s="49"/>
      <c r="O28" s="40"/>
      <c r="P28" s="40"/>
      <c r="Q28" s="40"/>
      <c r="R28" s="40"/>
      <c r="S28" s="36"/>
      <c r="T28" s="37"/>
      <c r="U28" s="40"/>
      <c r="V28" s="40"/>
      <c r="W28" s="40"/>
      <c r="X28" s="40"/>
    </row>
    <row r="29" spans="1:24">
      <c r="A29" s="99"/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1"/>
      <c r="N29" s="50"/>
      <c r="T29" s="51"/>
    </row>
    <row r="30" spans="1:24">
      <c r="A30" s="26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N30" s="44"/>
      <c r="T30" s="40"/>
    </row>
    <row r="31" spans="1:24">
      <c r="A31" s="26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N31" s="44"/>
      <c r="T31" s="40"/>
    </row>
    <row r="32" spans="1:24">
      <c r="A32" s="26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N32" s="45"/>
      <c r="T32" s="46"/>
    </row>
    <row r="33" spans="1:20">
      <c r="A33" s="26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N33" s="1"/>
      <c r="T33" s="1"/>
    </row>
    <row r="34" spans="1:20">
      <c r="A34" s="26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T34" s="1"/>
    </row>
    <row r="35" spans="1:20">
      <c r="A35" s="26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</row>
    <row r="36" spans="1:20">
      <c r="A36" s="26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</row>
    <row r="37" spans="1:20">
      <c r="A37" s="26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</row>
    <row r="38" spans="1:20">
      <c r="A38" s="36"/>
      <c r="B38" s="36"/>
      <c r="C38" s="36"/>
      <c r="D38" s="32"/>
      <c r="E38" s="32"/>
      <c r="F38" s="32"/>
      <c r="G38" s="32"/>
      <c r="H38" s="32"/>
      <c r="I38" s="32"/>
      <c r="J38" s="32"/>
      <c r="K38" s="32"/>
      <c r="L38" s="32"/>
    </row>
    <row r="39" spans="1:20">
      <c r="A39" s="1"/>
      <c r="B39" s="1"/>
      <c r="C39" s="37"/>
      <c r="D39" s="26"/>
      <c r="E39" s="26"/>
      <c r="F39" s="26"/>
      <c r="G39" s="26"/>
      <c r="H39" s="26"/>
      <c r="I39" s="26"/>
      <c r="J39" s="26"/>
      <c r="K39" s="26"/>
      <c r="L39" s="26"/>
      <c r="M39" s="1"/>
    </row>
    <row r="40" spans="1:20">
      <c r="A40" s="1"/>
      <c r="B40" s="1"/>
      <c r="C40" s="37"/>
      <c r="D40" s="26"/>
      <c r="E40" s="26"/>
      <c r="F40" s="26"/>
      <c r="G40" s="26"/>
      <c r="H40" s="26"/>
      <c r="I40" s="26"/>
      <c r="J40" s="26"/>
      <c r="K40" s="26"/>
      <c r="L40" s="26"/>
      <c r="M40" s="1"/>
    </row>
    <row r="41" spans="1:20">
      <c r="A41" s="1"/>
      <c r="B41" s="1"/>
      <c r="C41" s="37"/>
      <c r="D41" s="26"/>
      <c r="E41" s="26"/>
      <c r="F41" s="26"/>
      <c r="G41" s="26"/>
      <c r="H41" s="26"/>
      <c r="I41" s="26"/>
      <c r="J41" s="26"/>
      <c r="K41" s="26"/>
      <c r="L41" s="26"/>
      <c r="M41" s="1"/>
    </row>
    <row r="42" spans="1:20">
      <c r="A42" s="1"/>
      <c r="B42" s="1"/>
      <c r="C42" s="37"/>
      <c r="D42" s="26"/>
      <c r="E42" s="26"/>
      <c r="F42" s="26"/>
      <c r="G42" s="26"/>
      <c r="H42" s="26"/>
      <c r="I42" s="26"/>
      <c r="J42" s="26"/>
      <c r="K42" s="26"/>
      <c r="L42" s="26"/>
      <c r="M42" s="1"/>
    </row>
    <row r="43" spans="1:20">
      <c r="A43" s="1"/>
      <c r="B43" s="1"/>
      <c r="C43" s="37"/>
      <c r="D43" s="1"/>
      <c r="I43" s="8"/>
      <c r="J43" s="8"/>
      <c r="K43" s="8"/>
      <c r="L43" s="8"/>
    </row>
    <row r="44" spans="1:20">
      <c r="A44" s="1"/>
      <c r="B44" s="1"/>
      <c r="C44" s="37"/>
      <c r="D44" s="1"/>
    </row>
    <row r="45" spans="1:20">
      <c r="A45" s="1"/>
      <c r="B45" s="1"/>
      <c r="C45" s="37"/>
      <c r="D45" s="1"/>
    </row>
    <row r="46" spans="1:20">
      <c r="A46" s="1"/>
      <c r="B46" s="1"/>
      <c r="C46" s="37"/>
      <c r="D46" s="1"/>
    </row>
    <row r="47" spans="1:20">
      <c r="A47" s="1"/>
      <c r="B47" s="1"/>
      <c r="C47" s="37"/>
      <c r="D47" s="1"/>
    </row>
    <row r="48" spans="1:20">
      <c r="A48" s="1"/>
      <c r="B48" s="1"/>
      <c r="C48" s="37"/>
      <c r="D48" s="1"/>
    </row>
    <row r="49" spans="1:4">
      <c r="A49" s="1"/>
      <c r="B49" s="1"/>
      <c r="C49" s="37"/>
      <c r="D49" s="1"/>
    </row>
    <row r="50" spans="1:4">
      <c r="A50" s="1"/>
      <c r="B50" s="1"/>
      <c r="C50" s="37"/>
      <c r="D50" s="1"/>
    </row>
    <row r="51" spans="1:4">
      <c r="A51" s="1"/>
      <c r="B51" s="1"/>
      <c r="C51" s="37"/>
      <c r="D51" s="1"/>
    </row>
    <row r="52" spans="1:4">
      <c r="A52" s="1"/>
      <c r="B52" s="1"/>
      <c r="C52" s="37"/>
      <c r="D52" s="1"/>
    </row>
    <row r="53" spans="1:4">
      <c r="A53" s="1"/>
      <c r="B53" s="1"/>
      <c r="C53" s="37"/>
      <c r="D53" s="1"/>
    </row>
    <row r="54" spans="1:4">
      <c r="A54" s="1"/>
      <c r="B54" s="1"/>
      <c r="C54" s="37"/>
      <c r="D54" s="1"/>
    </row>
    <row r="55" spans="1:4">
      <c r="A55" s="1"/>
      <c r="B55" s="1"/>
      <c r="C55" s="37"/>
      <c r="D55" s="1"/>
    </row>
    <row r="56" spans="1:4">
      <c r="A56" s="1"/>
      <c r="B56" s="1"/>
      <c r="C56" s="37"/>
      <c r="D56" s="1"/>
    </row>
    <row r="57" spans="1:4">
      <c r="A57" s="1"/>
      <c r="B57" s="1"/>
      <c r="C57" s="37"/>
      <c r="D57" s="1"/>
    </row>
    <row r="58" spans="1:4">
      <c r="A58" s="1"/>
      <c r="B58" s="1"/>
      <c r="C58" s="37"/>
      <c r="D58" s="1"/>
    </row>
    <row r="59" spans="1:4">
      <c r="A59" s="1"/>
      <c r="B59" s="1"/>
      <c r="C59" s="37"/>
      <c r="D59" s="1"/>
    </row>
    <row r="60" spans="1:4">
      <c r="A60" s="1"/>
      <c r="B60" s="1"/>
      <c r="C60" s="37"/>
      <c r="D60" s="1"/>
    </row>
    <row r="61" spans="1:4">
      <c r="A61" s="1"/>
      <c r="B61" s="1"/>
      <c r="C61" s="37"/>
      <c r="D61" s="1"/>
    </row>
    <row r="62" spans="1:4">
      <c r="A62" s="1"/>
      <c r="B62" s="1"/>
      <c r="C62" s="37"/>
      <c r="D62" s="1"/>
    </row>
    <row r="63" spans="1:4">
      <c r="A63" s="1"/>
      <c r="B63" s="1"/>
      <c r="C63" s="37"/>
      <c r="D63" s="1"/>
    </row>
    <row r="64" spans="1:4">
      <c r="A64" s="1"/>
      <c r="B64" s="1"/>
      <c r="C64" s="37"/>
      <c r="D64" s="1"/>
    </row>
    <row r="65" spans="1:3">
      <c r="A65" s="1"/>
      <c r="B65" s="1"/>
      <c r="C65" s="1"/>
    </row>
    <row r="66" spans="1:3">
      <c r="A66" s="1"/>
      <c r="B66" s="1"/>
      <c r="C66" s="1"/>
    </row>
    <row r="67" spans="1:3">
      <c r="A67" s="1"/>
      <c r="B67" s="1"/>
      <c r="C67" s="1"/>
    </row>
    <row r="68" spans="1:3">
      <c r="A68" s="1"/>
      <c r="B68" s="1"/>
      <c r="C68" s="1"/>
    </row>
    <row r="69" spans="1:3">
      <c r="A69" s="1"/>
      <c r="B69" s="1"/>
      <c r="C69" s="1"/>
    </row>
  </sheetData>
  <mergeCells count="17">
    <mergeCell ref="A1:B1"/>
    <mergeCell ref="E1:H1"/>
    <mergeCell ref="A2:D2"/>
    <mergeCell ref="E2:H2"/>
    <mergeCell ref="A3:A5"/>
    <mergeCell ref="B3:B5"/>
    <mergeCell ref="C3:D4"/>
    <mergeCell ref="E3:J3"/>
    <mergeCell ref="A22:L22"/>
    <mergeCell ref="A25:L25"/>
    <mergeCell ref="A29:L29"/>
    <mergeCell ref="K3:L4"/>
    <mergeCell ref="E4:F4"/>
    <mergeCell ref="G4:H4"/>
    <mergeCell ref="I4:J4"/>
    <mergeCell ref="A6:L6"/>
    <mergeCell ref="A11:L11"/>
  </mergeCells>
  <pageMargins left="0.32291666666666669" right="0.7" top="0.29166666666666669" bottom="0.44791666666666669" header="0.3" footer="0.3"/>
  <pageSetup paperSize="9" orientation="landscape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70"/>
  <sheetViews>
    <sheetView topLeftCell="A4" zoomScaleNormal="100" workbookViewId="0">
      <selection activeCell="A14" sqref="A14:L14"/>
    </sheetView>
  </sheetViews>
  <sheetFormatPr defaultRowHeight="15"/>
  <cols>
    <col min="1" max="1" width="10.5703125" style="73" customWidth="1"/>
    <col min="2" max="2" width="37" style="73" customWidth="1"/>
    <col min="3" max="3" width="7.28515625" style="73" customWidth="1"/>
    <col min="4" max="4" width="9" style="73" customWidth="1"/>
    <col min="5" max="5" width="6.7109375" style="73" customWidth="1"/>
    <col min="6" max="6" width="6.85546875" style="73" customWidth="1"/>
    <col min="7" max="7" width="6.42578125" style="73" customWidth="1"/>
    <col min="8" max="8" width="6.5703125" style="73" customWidth="1"/>
    <col min="9" max="9" width="7.5703125" style="73" customWidth="1"/>
    <col min="10" max="10" width="7.42578125" style="73" customWidth="1"/>
    <col min="11" max="11" width="9.7109375" style="73" customWidth="1"/>
    <col min="12" max="12" width="9.42578125" style="73" customWidth="1"/>
    <col min="13" max="13" width="9" style="73" customWidth="1"/>
    <col min="14" max="14" width="7.28515625" style="73" customWidth="1"/>
    <col min="15" max="18" width="9.140625" style="73"/>
    <col min="19" max="19" width="19.7109375" style="73" customWidth="1"/>
    <col min="20" max="20" width="7.7109375" style="73" customWidth="1"/>
    <col min="21" max="21" width="9.140625" style="73"/>
    <col min="22" max="22" width="7.7109375" style="73" customWidth="1"/>
    <col min="23" max="16384" width="9.140625" style="73"/>
  </cols>
  <sheetData>
    <row r="1" spans="1:24" ht="15.75">
      <c r="A1" s="107" t="s">
        <v>122</v>
      </c>
      <c r="B1" s="107"/>
      <c r="C1" s="60"/>
      <c r="D1" s="60"/>
      <c r="E1" s="108" t="s">
        <v>170</v>
      </c>
      <c r="F1" s="108"/>
      <c r="G1" s="108"/>
      <c r="H1" s="108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5.75">
      <c r="A2" s="109" t="s">
        <v>123</v>
      </c>
      <c r="B2" s="109"/>
      <c r="C2" s="109"/>
      <c r="D2" s="109"/>
      <c r="E2" s="109" t="s">
        <v>218</v>
      </c>
      <c r="F2" s="109"/>
      <c r="G2" s="109"/>
      <c r="H2" s="109"/>
      <c r="I2" s="61"/>
      <c r="J2" s="61"/>
      <c r="K2" s="61"/>
      <c r="L2" s="61"/>
      <c r="M2" s="36"/>
      <c r="N2" s="36"/>
      <c r="O2" s="1"/>
      <c r="P2" s="1"/>
      <c r="Q2" s="1"/>
      <c r="R2" s="1"/>
      <c r="S2" s="36"/>
      <c r="T2" s="36"/>
      <c r="U2" s="1"/>
      <c r="V2" s="1"/>
      <c r="W2" s="1"/>
      <c r="X2" s="1"/>
    </row>
    <row r="3" spans="1:24" ht="15" customHeight="1">
      <c r="A3" s="110" t="s">
        <v>0</v>
      </c>
      <c r="B3" s="113" t="s">
        <v>1</v>
      </c>
      <c r="C3" s="116" t="s">
        <v>8</v>
      </c>
      <c r="D3" s="117"/>
      <c r="E3" s="103" t="s">
        <v>9</v>
      </c>
      <c r="F3" s="103"/>
      <c r="G3" s="103"/>
      <c r="H3" s="103"/>
      <c r="I3" s="103"/>
      <c r="J3" s="103"/>
      <c r="K3" s="102" t="s">
        <v>7</v>
      </c>
      <c r="L3" s="102"/>
      <c r="M3" s="1"/>
      <c r="N3" s="37"/>
      <c r="O3" s="40"/>
      <c r="P3" s="40"/>
      <c r="Q3" s="40"/>
      <c r="R3" s="40"/>
      <c r="S3" s="1"/>
      <c r="T3" s="37"/>
      <c r="U3" s="40"/>
      <c r="V3" s="40"/>
      <c r="W3" s="40"/>
      <c r="X3" s="40"/>
    </row>
    <row r="4" spans="1:24">
      <c r="A4" s="111"/>
      <c r="B4" s="114"/>
      <c r="C4" s="116"/>
      <c r="D4" s="117"/>
      <c r="E4" s="103" t="s">
        <v>5</v>
      </c>
      <c r="F4" s="103"/>
      <c r="G4" s="102" t="s">
        <v>4</v>
      </c>
      <c r="H4" s="102"/>
      <c r="I4" s="103" t="s">
        <v>6</v>
      </c>
      <c r="J4" s="103"/>
      <c r="K4" s="102"/>
      <c r="L4" s="102"/>
      <c r="M4" s="1"/>
      <c r="N4" s="37"/>
      <c r="O4" s="40"/>
      <c r="P4" s="40"/>
      <c r="Q4" s="40"/>
      <c r="R4" s="40"/>
      <c r="S4" s="1"/>
      <c r="T4" s="37"/>
      <c r="U4" s="40"/>
      <c r="V4" s="40"/>
      <c r="W4" s="40"/>
      <c r="X4" s="40"/>
    </row>
    <row r="5" spans="1:24" ht="63">
      <c r="A5" s="112"/>
      <c r="B5" s="115"/>
      <c r="C5" s="75" t="s">
        <v>128</v>
      </c>
      <c r="D5" s="76" t="s">
        <v>127</v>
      </c>
      <c r="E5" s="75" t="s">
        <v>128</v>
      </c>
      <c r="F5" s="76" t="s">
        <v>127</v>
      </c>
      <c r="G5" s="75" t="s">
        <v>128</v>
      </c>
      <c r="H5" s="76" t="s">
        <v>127</v>
      </c>
      <c r="I5" s="75" t="s">
        <v>128</v>
      </c>
      <c r="J5" s="76" t="s">
        <v>127</v>
      </c>
      <c r="K5" s="75" t="s">
        <v>128</v>
      </c>
      <c r="L5" s="77" t="s">
        <v>127</v>
      </c>
      <c r="M5" s="1"/>
      <c r="N5" s="37"/>
      <c r="O5" s="40"/>
      <c r="P5" s="40"/>
      <c r="Q5" s="40"/>
      <c r="R5" s="40"/>
      <c r="S5" s="1"/>
      <c r="T5" s="37"/>
      <c r="U5" s="40"/>
      <c r="V5" s="40"/>
      <c r="W5" s="40"/>
      <c r="X5" s="40"/>
    </row>
    <row r="6" spans="1:24">
      <c r="A6" s="99" t="s">
        <v>10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1"/>
      <c r="M6" s="1"/>
      <c r="N6" s="37"/>
      <c r="O6" s="40"/>
      <c r="P6" s="40"/>
      <c r="Q6" s="40"/>
      <c r="R6" s="40"/>
      <c r="S6" s="1"/>
      <c r="T6" s="37"/>
      <c r="U6" s="40"/>
      <c r="V6" s="40"/>
      <c r="W6" s="40"/>
      <c r="X6" s="40"/>
    </row>
    <row r="7" spans="1:24">
      <c r="A7" s="47" t="s">
        <v>204</v>
      </c>
      <c r="B7" s="74" t="s">
        <v>205</v>
      </c>
      <c r="C7" s="15">
        <v>160</v>
      </c>
      <c r="D7" s="20">
        <v>200</v>
      </c>
      <c r="E7" s="13">
        <f>C7*3.5/100</f>
        <v>5.6</v>
      </c>
      <c r="F7" s="17">
        <f>D7*3.5/100</f>
        <v>7</v>
      </c>
      <c r="G7" s="13">
        <f>C7*4.6/100</f>
        <v>7.36</v>
      </c>
      <c r="H7" s="17">
        <f>D7*4.6/100</f>
        <v>9.1999999999999993</v>
      </c>
      <c r="I7" s="13">
        <f>C7*16.7/100</f>
        <v>26.72</v>
      </c>
      <c r="J7" s="17">
        <f>D7*16.7/100</f>
        <v>33.4</v>
      </c>
      <c r="K7" s="15">
        <f t="shared" ref="K7:L11" si="0">E7*4+G7*9+I7*4</f>
        <v>195.52</v>
      </c>
      <c r="L7" s="17">
        <f t="shared" si="0"/>
        <v>244.39999999999998</v>
      </c>
      <c r="M7" s="1"/>
      <c r="N7" s="37"/>
      <c r="O7" s="40"/>
      <c r="P7" s="40"/>
      <c r="Q7" s="40"/>
      <c r="R7" s="40"/>
      <c r="S7" s="1"/>
      <c r="T7" s="37"/>
      <c r="U7" s="40"/>
      <c r="V7" s="40"/>
      <c r="W7" s="40"/>
      <c r="X7" s="40"/>
    </row>
    <row r="8" spans="1:24">
      <c r="A8" s="65"/>
      <c r="B8" s="2" t="s">
        <v>2</v>
      </c>
      <c r="C8" s="14">
        <v>30</v>
      </c>
      <c r="D8" s="21">
        <v>40</v>
      </c>
      <c r="E8" s="14">
        <f>C8*7.5/100</f>
        <v>2.25</v>
      </c>
      <c r="F8" s="27">
        <f>D8*7.5/100</f>
        <v>3</v>
      </c>
      <c r="G8" s="13">
        <f>C8*2.9/100</f>
        <v>0.87</v>
      </c>
      <c r="H8" s="18">
        <f>D8*2.9/100</f>
        <v>1.1599999999999999</v>
      </c>
      <c r="I8" s="15">
        <f>C8*51.4/100</f>
        <v>15.42</v>
      </c>
      <c r="J8" s="18">
        <f>D8*51.4/100</f>
        <v>20.56</v>
      </c>
      <c r="K8" s="15">
        <f t="shared" si="0"/>
        <v>78.509999999999991</v>
      </c>
      <c r="L8" s="18">
        <f t="shared" si="0"/>
        <v>104.67999999999999</v>
      </c>
      <c r="M8" s="1"/>
      <c r="N8" s="37"/>
      <c r="O8" s="40"/>
      <c r="P8" s="40"/>
      <c r="Q8" s="40"/>
      <c r="R8" s="40"/>
      <c r="S8" s="1"/>
      <c r="T8" s="37"/>
      <c r="U8" s="40"/>
      <c r="V8" s="40"/>
      <c r="W8" s="40"/>
      <c r="X8" s="40"/>
    </row>
    <row r="9" spans="1:24">
      <c r="A9" s="81" t="s">
        <v>177</v>
      </c>
      <c r="B9" s="4" t="s">
        <v>176</v>
      </c>
      <c r="C9" s="15">
        <v>10</v>
      </c>
      <c r="D9" s="22">
        <v>10</v>
      </c>
      <c r="E9" s="15">
        <f>C9*0.08/10</f>
        <v>0.08</v>
      </c>
      <c r="F9" s="18">
        <f>D9*0.08/10</f>
        <v>0.08</v>
      </c>
      <c r="G9" s="13">
        <f>C9*7.25/10</f>
        <v>7.25</v>
      </c>
      <c r="H9" s="17">
        <f>D9*7.25/10</f>
        <v>7.25</v>
      </c>
      <c r="I9" s="13">
        <f>C9*0.13/10</f>
        <v>0.13</v>
      </c>
      <c r="J9" s="17">
        <f>D9*0.13/10</f>
        <v>0.13</v>
      </c>
      <c r="K9" s="13">
        <f t="shared" si="0"/>
        <v>66.089999999999989</v>
      </c>
      <c r="L9" s="17">
        <f t="shared" si="0"/>
        <v>66.089999999999989</v>
      </c>
      <c r="M9" s="1"/>
      <c r="N9" s="37"/>
      <c r="O9" s="40"/>
      <c r="P9" s="40"/>
      <c r="Q9" s="40"/>
      <c r="R9" s="40"/>
      <c r="S9" s="1"/>
      <c r="T9" s="37"/>
      <c r="U9" s="40"/>
      <c r="V9" s="40"/>
      <c r="W9" s="40"/>
      <c r="X9" s="40"/>
    </row>
    <row r="10" spans="1:24">
      <c r="A10" s="47" t="s">
        <v>140</v>
      </c>
      <c r="B10" s="2" t="s">
        <v>141</v>
      </c>
      <c r="C10" s="15">
        <v>200</v>
      </c>
      <c r="D10" s="18">
        <v>200</v>
      </c>
      <c r="E10" s="13">
        <f>C10*0.06/180</f>
        <v>6.6666666666666666E-2</v>
      </c>
      <c r="F10" s="17">
        <f>D10*0.06/180</f>
        <v>6.6666666666666666E-2</v>
      </c>
      <c r="G10" s="13">
        <f>C10*0/50</f>
        <v>0</v>
      </c>
      <c r="H10" s="17">
        <f>D10*0/50</f>
        <v>0</v>
      </c>
      <c r="I10" s="13">
        <f>C10*9.99/180</f>
        <v>11.1</v>
      </c>
      <c r="J10" s="17">
        <f>D10*9.99/180</f>
        <v>11.1</v>
      </c>
      <c r="K10" s="13">
        <f t="shared" si="0"/>
        <v>44.666666666666664</v>
      </c>
      <c r="L10" s="17">
        <f t="shared" si="0"/>
        <v>44.666666666666664</v>
      </c>
      <c r="M10" s="1"/>
      <c r="N10" s="37"/>
      <c r="O10" s="40"/>
      <c r="P10" s="40"/>
      <c r="Q10" s="40"/>
      <c r="R10" s="40"/>
      <c r="S10" s="1"/>
      <c r="T10" s="37"/>
      <c r="U10" s="40"/>
      <c r="V10" s="40"/>
      <c r="W10" s="40"/>
      <c r="X10" s="40"/>
    </row>
    <row r="11" spans="1:24">
      <c r="A11" s="64"/>
      <c r="B11" s="7" t="s">
        <v>19</v>
      </c>
      <c r="C11" s="62">
        <f t="shared" ref="C11:J11" si="1">SUM(C7:C10)</f>
        <v>400</v>
      </c>
      <c r="D11" s="23">
        <f t="shared" si="1"/>
        <v>450</v>
      </c>
      <c r="E11" s="10">
        <f t="shared" si="1"/>
        <v>7.9966666666666661</v>
      </c>
      <c r="F11" s="16">
        <f t="shared" si="1"/>
        <v>10.146666666666667</v>
      </c>
      <c r="G11" s="10">
        <f t="shared" si="1"/>
        <v>15.48</v>
      </c>
      <c r="H11" s="16">
        <f t="shared" si="1"/>
        <v>17.61</v>
      </c>
      <c r="I11" s="10">
        <f t="shared" si="1"/>
        <v>53.370000000000005</v>
      </c>
      <c r="J11" s="16">
        <f t="shared" si="1"/>
        <v>65.19</v>
      </c>
      <c r="K11" s="10">
        <f t="shared" si="0"/>
        <v>384.78666666666669</v>
      </c>
      <c r="L11" s="16">
        <f t="shared" si="0"/>
        <v>459.8366666666667</v>
      </c>
      <c r="M11" s="1"/>
      <c r="N11" s="37"/>
      <c r="O11" s="40"/>
      <c r="P11" s="40"/>
      <c r="Q11" s="40"/>
      <c r="R11" s="40"/>
      <c r="S11" s="1"/>
      <c r="T11" s="37"/>
      <c r="U11" s="40"/>
      <c r="V11" s="40"/>
      <c r="W11" s="40"/>
      <c r="X11" s="40"/>
    </row>
    <row r="12" spans="1:24">
      <c r="A12" s="104" t="s">
        <v>11</v>
      </c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06"/>
      <c r="M12" s="1"/>
      <c r="N12" s="37"/>
      <c r="O12" s="40"/>
      <c r="P12" s="40"/>
      <c r="Q12" s="40"/>
      <c r="R12" s="40"/>
      <c r="S12" s="1"/>
      <c r="T12" s="37"/>
      <c r="U12" s="40"/>
      <c r="V12" s="40"/>
      <c r="W12" s="40"/>
      <c r="X12" s="40"/>
    </row>
    <row r="13" spans="1:24">
      <c r="A13" s="47"/>
      <c r="B13" s="2" t="s">
        <v>206</v>
      </c>
      <c r="C13" s="15">
        <v>60</v>
      </c>
      <c r="D13" s="25">
        <v>100</v>
      </c>
      <c r="E13" s="13">
        <f>C13*1.1/100</f>
        <v>0.66</v>
      </c>
      <c r="F13" s="17">
        <f>D13*1.1/100</f>
        <v>1.1000000000000001</v>
      </c>
      <c r="G13" s="13">
        <f>C13*0.2/100</f>
        <v>0.12</v>
      </c>
      <c r="H13" s="17">
        <f>D13*0.2/100</f>
        <v>0.2</v>
      </c>
      <c r="I13" s="13">
        <f>C13*3.8/100</f>
        <v>2.2799999999999998</v>
      </c>
      <c r="J13" s="17">
        <f>D13*3.8/100</f>
        <v>3.8</v>
      </c>
      <c r="K13" s="83">
        <f t="shared" ref="K13:L28" si="2">E13*4+G13*9+I13*4</f>
        <v>12.84</v>
      </c>
      <c r="L13" s="84">
        <f t="shared" si="2"/>
        <v>21.4</v>
      </c>
      <c r="M13" s="1"/>
      <c r="N13" s="37"/>
      <c r="O13" s="40"/>
      <c r="P13" s="40"/>
      <c r="Q13" s="40"/>
      <c r="R13" s="40"/>
      <c r="S13" s="1"/>
      <c r="T13" s="37"/>
      <c r="U13" s="40"/>
      <c r="V13" s="40"/>
      <c r="W13" s="40"/>
      <c r="X13" s="40"/>
    </row>
    <row r="14" spans="1:24">
      <c r="A14" s="47" t="s">
        <v>207</v>
      </c>
      <c r="B14" s="2" t="s">
        <v>208</v>
      </c>
      <c r="C14" s="14">
        <v>200</v>
      </c>
      <c r="D14" s="54">
        <v>250</v>
      </c>
      <c r="E14" s="83">
        <f>C14*13.5/250</f>
        <v>10.8</v>
      </c>
      <c r="F14" s="84">
        <f>D14*13.5/250</f>
        <v>13.5</v>
      </c>
      <c r="G14" s="83">
        <f>C14*3.6/250</f>
        <v>2.88</v>
      </c>
      <c r="H14" s="84">
        <f>D14*3.6/250</f>
        <v>3.6</v>
      </c>
      <c r="I14" s="83">
        <f>C14*12.5/250</f>
        <v>10</v>
      </c>
      <c r="J14" s="84">
        <f>D14*12.5/250</f>
        <v>12.5</v>
      </c>
      <c r="K14" s="83">
        <f t="shared" si="2"/>
        <v>109.12</v>
      </c>
      <c r="L14" s="84">
        <f t="shared" si="2"/>
        <v>136.4</v>
      </c>
      <c r="M14" s="1"/>
      <c r="N14" s="37"/>
      <c r="O14" s="40"/>
      <c r="P14" s="40"/>
      <c r="Q14" s="40"/>
      <c r="R14" s="40"/>
      <c r="S14" s="1"/>
      <c r="T14" s="37"/>
      <c r="U14" s="40"/>
      <c r="V14" s="40"/>
      <c r="W14" s="40"/>
      <c r="X14" s="40"/>
    </row>
    <row r="15" spans="1:24">
      <c r="A15" s="47" t="s">
        <v>209</v>
      </c>
      <c r="B15" s="86" t="s">
        <v>210</v>
      </c>
      <c r="C15" s="15">
        <v>150</v>
      </c>
      <c r="D15" s="18">
        <v>180</v>
      </c>
      <c r="E15" s="13">
        <f>C15*2.23/150</f>
        <v>2.23</v>
      </c>
      <c r="F15" s="17">
        <f>D15*2.23/150</f>
        <v>2.6759999999999997</v>
      </c>
      <c r="G15" s="15">
        <f>C15*4.04/150</f>
        <v>4.04</v>
      </c>
      <c r="H15" s="17">
        <f>D15*4.04/150</f>
        <v>4.8479999999999999</v>
      </c>
      <c r="I15" s="13">
        <f>C15*10.16/150</f>
        <v>10.16</v>
      </c>
      <c r="J15" s="17">
        <f>D15*10.16/150</f>
        <v>12.192</v>
      </c>
      <c r="K15" s="13">
        <f t="shared" si="2"/>
        <v>85.92</v>
      </c>
      <c r="L15" s="17">
        <f t="shared" si="2"/>
        <v>103.104</v>
      </c>
      <c r="M15" s="1"/>
      <c r="N15" s="37"/>
      <c r="O15" s="40"/>
      <c r="P15" s="40"/>
      <c r="Q15" s="40"/>
      <c r="R15" s="40"/>
      <c r="S15" s="1"/>
      <c r="T15" s="37"/>
      <c r="U15" s="40"/>
      <c r="V15" s="40"/>
      <c r="W15" s="40"/>
      <c r="X15" s="40"/>
    </row>
    <row r="16" spans="1:24">
      <c r="A16" s="47" t="s">
        <v>213</v>
      </c>
      <c r="B16" s="2" t="s">
        <v>212</v>
      </c>
      <c r="C16" s="15">
        <v>90</v>
      </c>
      <c r="D16" s="18">
        <v>100</v>
      </c>
      <c r="E16" s="13">
        <f>C16*21.3/100</f>
        <v>19.170000000000002</v>
      </c>
      <c r="F16" s="17">
        <f>D16*21.3/100</f>
        <v>21.3</v>
      </c>
      <c r="G16" s="13">
        <f>C16*23.1/100</f>
        <v>20.79</v>
      </c>
      <c r="H16" s="17">
        <f>D16*23.1/100</f>
        <v>23.1</v>
      </c>
      <c r="I16" s="13">
        <f>C16*5.7/100</f>
        <v>5.13</v>
      </c>
      <c r="J16" s="17">
        <f>D16*5.7/100</f>
        <v>5.7</v>
      </c>
      <c r="K16" s="13">
        <f t="shared" si="2"/>
        <v>284.30999999999995</v>
      </c>
      <c r="L16" s="17">
        <f t="shared" si="2"/>
        <v>315.90000000000003</v>
      </c>
      <c r="M16" s="1"/>
      <c r="N16" s="37"/>
      <c r="O16" s="40"/>
      <c r="P16" s="40"/>
      <c r="Q16" s="40"/>
      <c r="R16" s="40"/>
      <c r="S16" s="1"/>
      <c r="T16" s="37"/>
      <c r="U16" s="40"/>
      <c r="V16" s="40"/>
      <c r="W16" s="40"/>
      <c r="X16" s="40"/>
    </row>
    <row r="17" spans="1:24">
      <c r="A17" s="47" t="s">
        <v>136</v>
      </c>
      <c r="B17" s="2" t="s">
        <v>137</v>
      </c>
      <c r="C17" s="15">
        <v>200</v>
      </c>
      <c r="D17" s="18">
        <v>200</v>
      </c>
      <c r="E17" s="13">
        <f>C17*0.6/200</f>
        <v>0.6</v>
      </c>
      <c r="F17" s="17">
        <f>D17*0.6/200</f>
        <v>0.6</v>
      </c>
      <c r="G17" s="24">
        <f>C17*0/200</f>
        <v>0</v>
      </c>
      <c r="H17" s="19">
        <f>D17*0/100</f>
        <v>0</v>
      </c>
      <c r="I17" s="13">
        <f>C17*31.4/200</f>
        <v>31.4</v>
      </c>
      <c r="J17" s="17">
        <f>D17*31.4/200</f>
        <v>31.4</v>
      </c>
      <c r="K17" s="13">
        <f t="shared" si="2"/>
        <v>128</v>
      </c>
      <c r="L17" s="17">
        <f t="shared" si="2"/>
        <v>128</v>
      </c>
      <c r="M17" s="1"/>
      <c r="N17" s="37"/>
      <c r="O17" s="40"/>
      <c r="P17" s="40"/>
      <c r="Q17" s="40"/>
      <c r="R17" s="40"/>
      <c r="S17" s="1"/>
      <c r="T17" s="37"/>
      <c r="U17" s="40"/>
      <c r="V17" s="40"/>
      <c r="W17" s="40"/>
      <c r="X17" s="40"/>
    </row>
    <row r="18" spans="1:24">
      <c r="A18" s="65"/>
      <c r="B18" s="5" t="s">
        <v>217</v>
      </c>
      <c r="C18" s="15">
        <v>30</v>
      </c>
      <c r="D18" s="18">
        <v>40</v>
      </c>
      <c r="E18" s="13">
        <f>C18*6.6/100</f>
        <v>1.98</v>
      </c>
      <c r="F18" s="17">
        <f>D18*6.6/100</f>
        <v>2.64</v>
      </c>
      <c r="G18" s="13">
        <f>C18*1.1/100</f>
        <v>0.33</v>
      </c>
      <c r="H18" s="17">
        <f>D18*1.1/100</f>
        <v>0.44</v>
      </c>
      <c r="I18" s="13">
        <f>C18*43.9/100</f>
        <v>13.17</v>
      </c>
      <c r="J18" s="17">
        <f>D18*43.9/100</f>
        <v>17.559999999999999</v>
      </c>
      <c r="K18" s="13">
        <f t="shared" si="2"/>
        <v>63.57</v>
      </c>
      <c r="L18" s="17">
        <f t="shared" si="2"/>
        <v>84.759999999999991</v>
      </c>
      <c r="M18" s="1"/>
      <c r="N18" s="37"/>
      <c r="O18" s="40"/>
      <c r="P18" s="40"/>
      <c r="Q18" s="40"/>
      <c r="R18" s="40"/>
      <c r="S18" s="1"/>
      <c r="T18" s="37"/>
      <c r="U18" s="40"/>
      <c r="V18" s="40"/>
      <c r="W18" s="40"/>
      <c r="X18" s="40"/>
    </row>
    <row r="19" spans="1:24">
      <c r="A19" s="65"/>
      <c r="B19" s="5" t="s">
        <v>216</v>
      </c>
      <c r="C19" s="15">
        <v>30</v>
      </c>
      <c r="D19" s="18">
        <v>40</v>
      </c>
      <c r="E19" s="13">
        <f>C19*7.7/100</f>
        <v>2.31</v>
      </c>
      <c r="F19" s="17">
        <f>D19*7.7/100</f>
        <v>3.08</v>
      </c>
      <c r="G19" s="13">
        <f>C19*0.8/100</f>
        <v>0.24</v>
      </c>
      <c r="H19" s="17">
        <f>D19*0.8/100</f>
        <v>0.32</v>
      </c>
      <c r="I19" s="13">
        <f>C19*49.5/100</f>
        <v>14.85</v>
      </c>
      <c r="J19" s="17">
        <f>D19*49.5/100</f>
        <v>19.8</v>
      </c>
      <c r="K19" s="13">
        <f t="shared" si="2"/>
        <v>70.8</v>
      </c>
      <c r="L19" s="17">
        <f t="shared" si="2"/>
        <v>94.4</v>
      </c>
      <c r="M19" s="1"/>
      <c r="N19" s="37"/>
      <c r="O19" s="40"/>
      <c r="P19" s="40"/>
      <c r="Q19" s="40"/>
      <c r="R19" s="40"/>
      <c r="S19" s="1"/>
      <c r="T19" s="37"/>
      <c r="U19" s="40"/>
      <c r="V19" s="40"/>
      <c r="W19" s="40"/>
      <c r="X19" s="40"/>
    </row>
    <row r="20" spans="1:24">
      <c r="A20" s="65"/>
      <c r="B20" s="5" t="s">
        <v>248</v>
      </c>
      <c r="C20" s="15">
        <v>100</v>
      </c>
      <c r="D20" s="18">
        <v>100</v>
      </c>
      <c r="E20" s="13">
        <v>0.4</v>
      </c>
      <c r="F20" s="17">
        <v>0.4</v>
      </c>
      <c r="G20" s="13">
        <v>0.4</v>
      </c>
      <c r="H20" s="17">
        <v>0.4</v>
      </c>
      <c r="I20" s="13">
        <v>9.8000000000000007</v>
      </c>
      <c r="J20" s="17">
        <v>9.8000000000000007</v>
      </c>
      <c r="K20" s="13">
        <f t="shared" si="2"/>
        <v>44.400000000000006</v>
      </c>
      <c r="L20" s="17">
        <f t="shared" si="2"/>
        <v>44.400000000000006</v>
      </c>
      <c r="M20" s="1"/>
      <c r="N20" s="37"/>
      <c r="O20" s="40"/>
      <c r="P20" s="40"/>
      <c r="Q20" s="40"/>
      <c r="R20" s="40"/>
      <c r="S20" s="1"/>
      <c r="T20" s="37"/>
      <c r="U20" s="40"/>
      <c r="V20" s="40"/>
      <c r="W20" s="40"/>
      <c r="X20" s="40"/>
    </row>
    <row r="21" spans="1:24">
      <c r="A21" s="65"/>
      <c r="B21" s="7" t="s">
        <v>20</v>
      </c>
      <c r="C21" s="62">
        <f t="shared" ref="C21:L21" si="3">SUM(C13:C20)</f>
        <v>860</v>
      </c>
      <c r="D21" s="28">
        <f t="shared" si="3"/>
        <v>1010</v>
      </c>
      <c r="E21" s="62">
        <f t="shared" si="3"/>
        <v>38.15</v>
      </c>
      <c r="F21" s="16">
        <f t="shared" si="3"/>
        <v>45.295999999999999</v>
      </c>
      <c r="G21" s="62">
        <f t="shared" si="3"/>
        <v>28.799999999999994</v>
      </c>
      <c r="H21" s="16">
        <f t="shared" si="3"/>
        <v>32.908000000000001</v>
      </c>
      <c r="I21" s="62">
        <f t="shared" si="3"/>
        <v>96.789999999999992</v>
      </c>
      <c r="J21" s="16">
        <f t="shared" si="3"/>
        <v>112.752</v>
      </c>
      <c r="K21" s="62">
        <f t="shared" si="3"/>
        <v>798.95999999999992</v>
      </c>
      <c r="L21" s="16">
        <f t="shared" si="3"/>
        <v>928.36400000000003</v>
      </c>
      <c r="M21" s="1"/>
      <c r="N21" s="37"/>
      <c r="O21" s="40"/>
      <c r="P21" s="40"/>
      <c r="Q21" s="40"/>
      <c r="R21" s="40"/>
      <c r="S21" s="1"/>
      <c r="T21" s="37"/>
      <c r="U21" s="40"/>
      <c r="V21" s="40"/>
      <c r="W21" s="40"/>
      <c r="X21" s="40"/>
    </row>
    <row r="22" spans="1:24">
      <c r="A22" s="99"/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1"/>
      <c r="M22" s="1"/>
      <c r="N22" s="37"/>
      <c r="O22" s="40"/>
      <c r="P22" s="40"/>
      <c r="Q22" s="40"/>
      <c r="R22" s="40"/>
      <c r="S22" s="1"/>
      <c r="T22" s="37"/>
      <c r="U22" s="40"/>
      <c r="V22" s="40"/>
      <c r="W22" s="40"/>
      <c r="X22" s="40"/>
    </row>
    <row r="23" spans="1:24">
      <c r="A23" s="29"/>
      <c r="B23" s="30" t="s">
        <v>16</v>
      </c>
      <c r="C23" s="31"/>
      <c r="D23" s="31"/>
      <c r="E23" s="33">
        <f t="shared" ref="E23:L23" si="4">E11+E21</f>
        <v>46.146666666666661</v>
      </c>
      <c r="F23" s="34">
        <f t="shared" si="4"/>
        <v>55.442666666666668</v>
      </c>
      <c r="G23" s="33">
        <f t="shared" si="4"/>
        <v>44.279999999999994</v>
      </c>
      <c r="H23" s="34">
        <f t="shared" si="4"/>
        <v>50.518000000000001</v>
      </c>
      <c r="I23" s="33">
        <f t="shared" si="4"/>
        <v>150.16</v>
      </c>
      <c r="J23" s="34">
        <f t="shared" si="4"/>
        <v>177.94200000000001</v>
      </c>
      <c r="K23" s="33">
        <f t="shared" si="4"/>
        <v>1183.7466666666667</v>
      </c>
      <c r="L23" s="34">
        <f t="shared" si="4"/>
        <v>1388.2006666666666</v>
      </c>
      <c r="M23" s="1"/>
      <c r="N23" s="37"/>
      <c r="O23" s="40"/>
      <c r="P23" s="40"/>
      <c r="Q23" s="40"/>
      <c r="R23" s="40"/>
      <c r="S23" s="1"/>
      <c r="T23" s="37"/>
      <c r="U23" s="40"/>
      <c r="V23" s="40"/>
      <c r="W23" s="40"/>
      <c r="X23" s="40"/>
    </row>
    <row r="24" spans="1:24">
      <c r="A24" s="65"/>
      <c r="B24" s="39" t="s">
        <v>30</v>
      </c>
      <c r="C24" s="38"/>
      <c r="D24" s="38"/>
      <c r="E24" s="79">
        <v>46.2</v>
      </c>
      <c r="F24" s="80">
        <v>54</v>
      </c>
      <c r="G24" s="79">
        <v>47.4</v>
      </c>
      <c r="H24" s="79">
        <v>55.2</v>
      </c>
      <c r="I24" s="80">
        <v>201</v>
      </c>
      <c r="J24" s="79">
        <v>229.8</v>
      </c>
      <c r="K24" s="80">
        <v>1410</v>
      </c>
      <c r="L24" s="80">
        <v>1632</v>
      </c>
      <c r="M24" s="1"/>
      <c r="N24" s="37"/>
      <c r="O24" s="40"/>
      <c r="P24" s="40"/>
      <c r="Q24" s="40"/>
      <c r="R24" s="40"/>
      <c r="S24" s="1"/>
      <c r="T24" s="37"/>
      <c r="U24" s="40"/>
      <c r="V24" s="40"/>
      <c r="W24" s="40"/>
      <c r="X24" s="40"/>
    </row>
    <row r="25" spans="1:24">
      <c r="A25" s="99" t="s">
        <v>35</v>
      </c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1"/>
      <c r="M25" s="1"/>
      <c r="N25" s="37"/>
      <c r="O25" s="40"/>
      <c r="P25" s="40"/>
      <c r="Q25" s="40"/>
      <c r="R25" s="40"/>
      <c r="S25" s="1"/>
      <c r="T25" s="37"/>
      <c r="U25" s="40"/>
      <c r="V25" s="40"/>
      <c r="W25" s="40"/>
      <c r="X25" s="40"/>
    </row>
    <row r="26" spans="1:24">
      <c r="A26" s="47" t="s">
        <v>215</v>
      </c>
      <c r="B26" s="74" t="s">
        <v>27</v>
      </c>
      <c r="C26" s="15">
        <v>200</v>
      </c>
      <c r="D26" s="18">
        <v>200</v>
      </c>
      <c r="E26" s="13">
        <f>C26*2.88/100</f>
        <v>5.76</v>
      </c>
      <c r="F26" s="17">
        <f>D26*2.88/100</f>
        <v>5.76</v>
      </c>
      <c r="G26" s="13">
        <f>C26*2.61/100</f>
        <v>5.22</v>
      </c>
      <c r="H26" s="17">
        <f>D26*2.61/100</f>
        <v>5.22</v>
      </c>
      <c r="I26" s="13">
        <f>C26*9.42/100</f>
        <v>18.84</v>
      </c>
      <c r="J26" s="17">
        <f>D26*9.42/100</f>
        <v>18.84</v>
      </c>
      <c r="K26" s="13">
        <f t="shared" si="2"/>
        <v>145.38</v>
      </c>
      <c r="L26" s="17">
        <f t="shared" si="2"/>
        <v>145.38</v>
      </c>
      <c r="M26" s="1"/>
      <c r="N26" s="37"/>
      <c r="O26" s="40"/>
      <c r="P26" s="40"/>
      <c r="Q26" s="40"/>
      <c r="R26" s="40"/>
      <c r="S26" s="1"/>
      <c r="T26" s="37"/>
      <c r="U26" s="40"/>
      <c r="V26" s="40"/>
      <c r="W26" s="40"/>
      <c r="X26" s="40"/>
    </row>
    <row r="27" spans="1:24">
      <c r="A27" s="47"/>
      <c r="B27" s="5" t="s">
        <v>216</v>
      </c>
      <c r="C27" s="15">
        <v>20</v>
      </c>
      <c r="D27" s="18">
        <v>20</v>
      </c>
      <c r="E27" s="13">
        <f>C27*7.92/100</f>
        <v>1.5840000000000001</v>
      </c>
      <c r="F27" s="17">
        <f>D27*7.92/100</f>
        <v>1.5840000000000001</v>
      </c>
      <c r="G27" s="13">
        <f>C27*1.32/100</f>
        <v>0.26400000000000001</v>
      </c>
      <c r="H27" s="17">
        <f>D27*1.32/100</f>
        <v>0.26400000000000001</v>
      </c>
      <c r="I27" s="13">
        <f>C27*52.68/100</f>
        <v>10.536</v>
      </c>
      <c r="J27" s="17">
        <f>D27*52.68/100</f>
        <v>10.536</v>
      </c>
      <c r="K27" s="13">
        <f t="shared" si="2"/>
        <v>50.855999999999995</v>
      </c>
      <c r="L27" s="17">
        <f t="shared" si="2"/>
        <v>50.855999999999995</v>
      </c>
      <c r="M27" s="1"/>
      <c r="N27" s="37"/>
      <c r="O27" s="40"/>
      <c r="P27" s="40"/>
      <c r="Q27" s="40"/>
      <c r="R27" s="40"/>
      <c r="S27" s="1"/>
      <c r="T27" s="37"/>
      <c r="U27" s="40"/>
      <c r="V27" s="40"/>
      <c r="W27" s="40"/>
      <c r="X27" s="40"/>
    </row>
    <row r="28" spans="1:24">
      <c r="A28" s="47" t="s">
        <v>140</v>
      </c>
      <c r="B28" s="2" t="s">
        <v>141</v>
      </c>
      <c r="C28" s="15">
        <v>200</v>
      </c>
      <c r="D28" s="18">
        <v>200</v>
      </c>
      <c r="E28" s="13">
        <f>C28*0.06/180</f>
        <v>6.6666666666666666E-2</v>
      </c>
      <c r="F28" s="17">
        <f>D28*0.06/180</f>
        <v>6.6666666666666666E-2</v>
      </c>
      <c r="G28" s="13">
        <f>C28*0/50</f>
        <v>0</v>
      </c>
      <c r="H28" s="17">
        <f>D28*0/50</f>
        <v>0</v>
      </c>
      <c r="I28" s="13">
        <f>C28*9.99/180</f>
        <v>11.1</v>
      </c>
      <c r="J28" s="17">
        <f>D28*9.99/180</f>
        <v>11.1</v>
      </c>
      <c r="K28" s="13">
        <f t="shared" si="2"/>
        <v>44.666666666666664</v>
      </c>
      <c r="L28" s="17">
        <f t="shared" si="2"/>
        <v>44.666666666666664</v>
      </c>
      <c r="M28" s="1"/>
      <c r="N28" s="37"/>
      <c r="O28" s="40"/>
      <c r="P28" s="40"/>
      <c r="Q28" s="40"/>
      <c r="R28" s="40"/>
      <c r="S28" s="1"/>
      <c r="T28" s="37"/>
      <c r="U28" s="40"/>
      <c r="V28" s="40"/>
      <c r="W28" s="40"/>
      <c r="X28" s="40"/>
    </row>
    <row r="29" spans="1:24">
      <c r="A29" s="65"/>
      <c r="B29" s="7" t="s">
        <v>18</v>
      </c>
      <c r="C29" s="62">
        <f t="shared" ref="C29:L29" si="5">SUM(C26:C28)</f>
        <v>420</v>
      </c>
      <c r="D29" s="11">
        <f t="shared" si="5"/>
        <v>420</v>
      </c>
      <c r="E29" s="10">
        <f t="shared" si="5"/>
        <v>7.4106666666666658</v>
      </c>
      <c r="F29" s="16">
        <f t="shared" si="5"/>
        <v>7.4106666666666658</v>
      </c>
      <c r="G29" s="10">
        <f t="shared" si="5"/>
        <v>5.484</v>
      </c>
      <c r="H29" s="11">
        <f t="shared" si="5"/>
        <v>5.484</v>
      </c>
      <c r="I29" s="62">
        <f t="shared" si="5"/>
        <v>40.475999999999999</v>
      </c>
      <c r="J29" s="11">
        <f t="shared" si="5"/>
        <v>40.475999999999999</v>
      </c>
      <c r="K29" s="10">
        <f t="shared" si="5"/>
        <v>240.90266666666665</v>
      </c>
      <c r="L29" s="16">
        <f t="shared" si="5"/>
        <v>240.90266666666665</v>
      </c>
      <c r="M29" s="36"/>
      <c r="N29" s="49"/>
      <c r="O29" s="40"/>
      <c r="P29" s="40"/>
      <c r="Q29" s="40"/>
      <c r="R29" s="40"/>
      <c r="S29" s="36"/>
      <c r="T29" s="37"/>
      <c r="U29" s="40"/>
      <c r="V29" s="40"/>
      <c r="W29" s="40"/>
      <c r="X29" s="40"/>
    </row>
    <row r="30" spans="1:24">
      <c r="A30" s="99"/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1"/>
      <c r="N30" s="50"/>
      <c r="T30" s="51"/>
    </row>
    <row r="31" spans="1:24">
      <c r="A31" s="26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N31" s="44"/>
      <c r="T31" s="40"/>
    </row>
    <row r="32" spans="1:24">
      <c r="A32" s="26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N32" s="44"/>
      <c r="T32" s="40"/>
    </row>
    <row r="33" spans="1:20">
      <c r="A33" s="26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N33" s="45"/>
      <c r="T33" s="46"/>
    </row>
    <row r="34" spans="1:20">
      <c r="A34" s="26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N34" s="1"/>
      <c r="T34" s="1"/>
    </row>
    <row r="35" spans="1:20">
      <c r="A35" s="26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T35" s="1"/>
    </row>
    <row r="36" spans="1:20">
      <c r="A36" s="26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</row>
    <row r="37" spans="1:20">
      <c r="A37" s="26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</row>
    <row r="38" spans="1:20">
      <c r="A38" s="26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</row>
    <row r="39" spans="1:20">
      <c r="A39" s="36"/>
      <c r="B39" s="36"/>
      <c r="C39" s="36"/>
      <c r="D39" s="32"/>
      <c r="E39" s="32"/>
      <c r="F39" s="32"/>
      <c r="G39" s="32"/>
      <c r="H39" s="32"/>
      <c r="I39" s="32"/>
      <c r="J39" s="32"/>
      <c r="K39" s="32"/>
      <c r="L39" s="32"/>
    </row>
    <row r="40" spans="1:20">
      <c r="A40" s="1"/>
      <c r="B40" s="1"/>
      <c r="C40" s="37"/>
      <c r="D40" s="26"/>
      <c r="E40" s="26"/>
      <c r="F40" s="26"/>
      <c r="G40" s="26"/>
      <c r="H40" s="26"/>
      <c r="I40" s="26"/>
      <c r="J40" s="26"/>
      <c r="K40" s="26"/>
      <c r="L40" s="26"/>
      <c r="M40" s="1"/>
    </row>
    <row r="41" spans="1:20">
      <c r="A41" s="1"/>
      <c r="B41" s="1"/>
      <c r="C41" s="37"/>
      <c r="D41" s="26"/>
      <c r="E41" s="26"/>
      <c r="F41" s="26"/>
      <c r="G41" s="26"/>
      <c r="H41" s="26"/>
      <c r="I41" s="26"/>
      <c r="J41" s="26"/>
      <c r="K41" s="26"/>
      <c r="L41" s="26"/>
      <c r="M41" s="1"/>
    </row>
    <row r="42" spans="1:20">
      <c r="A42" s="1"/>
      <c r="B42" s="1"/>
      <c r="C42" s="37"/>
      <c r="D42" s="26"/>
      <c r="E42" s="26"/>
      <c r="F42" s="26"/>
      <c r="G42" s="26"/>
      <c r="H42" s="26"/>
      <c r="I42" s="26"/>
      <c r="J42" s="26"/>
      <c r="K42" s="26"/>
      <c r="L42" s="26"/>
      <c r="M42" s="1"/>
    </row>
    <row r="43" spans="1:20">
      <c r="A43" s="1"/>
      <c r="B43" s="1"/>
      <c r="C43" s="37"/>
      <c r="D43" s="26"/>
      <c r="E43" s="26"/>
      <c r="F43" s="26"/>
      <c r="G43" s="26"/>
      <c r="H43" s="26"/>
      <c r="I43" s="26"/>
      <c r="J43" s="26"/>
      <c r="K43" s="26"/>
      <c r="L43" s="26"/>
      <c r="M43" s="1"/>
    </row>
    <row r="44" spans="1:20">
      <c r="A44" s="1"/>
      <c r="B44" s="1"/>
      <c r="C44" s="37"/>
      <c r="D44" s="1"/>
      <c r="I44" s="8"/>
      <c r="J44" s="8"/>
      <c r="K44" s="8"/>
      <c r="L44" s="8"/>
    </row>
    <row r="45" spans="1:20">
      <c r="A45" s="1"/>
      <c r="B45" s="1"/>
      <c r="C45" s="37"/>
      <c r="D45" s="1"/>
    </row>
    <row r="46" spans="1:20">
      <c r="A46" s="1"/>
      <c r="B46" s="1"/>
      <c r="C46" s="37"/>
      <c r="D46" s="1"/>
    </row>
    <row r="47" spans="1:20">
      <c r="A47" s="1"/>
      <c r="B47" s="1"/>
      <c r="C47" s="37"/>
      <c r="D47" s="1"/>
    </row>
    <row r="48" spans="1:20">
      <c r="A48" s="1"/>
      <c r="B48" s="1"/>
      <c r="C48" s="37"/>
      <c r="D48" s="1"/>
    </row>
    <row r="49" spans="1:4">
      <c r="A49" s="1"/>
      <c r="B49" s="1"/>
      <c r="C49" s="37"/>
      <c r="D49" s="1"/>
    </row>
    <row r="50" spans="1:4">
      <c r="A50" s="1"/>
      <c r="B50" s="1"/>
      <c r="C50" s="37"/>
      <c r="D50" s="1"/>
    </row>
    <row r="51" spans="1:4">
      <c r="A51" s="1"/>
      <c r="B51" s="1"/>
      <c r="C51" s="37"/>
      <c r="D51" s="1"/>
    </row>
    <row r="52" spans="1:4">
      <c r="A52" s="1"/>
      <c r="B52" s="1"/>
      <c r="C52" s="37"/>
      <c r="D52" s="1"/>
    </row>
    <row r="53" spans="1:4">
      <c r="A53" s="1"/>
      <c r="B53" s="1"/>
      <c r="C53" s="37"/>
      <c r="D53" s="1"/>
    </row>
    <row r="54" spans="1:4">
      <c r="A54" s="1"/>
      <c r="B54" s="1"/>
      <c r="C54" s="37"/>
      <c r="D54" s="1"/>
    </row>
    <row r="55" spans="1:4">
      <c r="A55" s="1"/>
      <c r="B55" s="1"/>
      <c r="C55" s="37"/>
      <c r="D55" s="1"/>
    </row>
    <row r="56" spans="1:4">
      <c r="A56" s="1"/>
      <c r="B56" s="1"/>
      <c r="C56" s="37"/>
      <c r="D56" s="1"/>
    </row>
    <row r="57" spans="1:4">
      <c r="A57" s="1"/>
      <c r="B57" s="1"/>
      <c r="C57" s="37"/>
      <c r="D57" s="1"/>
    </row>
    <row r="58" spans="1:4">
      <c r="A58" s="1"/>
      <c r="B58" s="1"/>
      <c r="C58" s="37"/>
      <c r="D58" s="1"/>
    </row>
    <row r="59" spans="1:4">
      <c r="A59" s="1"/>
      <c r="B59" s="1"/>
      <c r="C59" s="37"/>
      <c r="D59" s="1"/>
    </row>
    <row r="60" spans="1:4">
      <c r="A60" s="1"/>
      <c r="B60" s="1"/>
      <c r="C60" s="37"/>
      <c r="D60" s="1"/>
    </row>
    <row r="61" spans="1:4">
      <c r="A61" s="1"/>
      <c r="B61" s="1"/>
      <c r="C61" s="37"/>
      <c r="D61" s="1"/>
    </row>
    <row r="62" spans="1:4">
      <c r="A62" s="1"/>
      <c r="B62" s="1"/>
      <c r="C62" s="37"/>
      <c r="D62" s="1"/>
    </row>
    <row r="63" spans="1:4">
      <c r="A63" s="1"/>
      <c r="B63" s="1"/>
      <c r="C63" s="37"/>
      <c r="D63" s="1"/>
    </row>
    <row r="64" spans="1:4">
      <c r="A64" s="1"/>
      <c r="B64" s="1"/>
      <c r="C64" s="37"/>
      <c r="D64" s="1"/>
    </row>
    <row r="65" spans="1:4">
      <c r="A65" s="1"/>
      <c r="B65" s="1"/>
      <c r="C65" s="37"/>
      <c r="D65" s="1"/>
    </row>
    <row r="66" spans="1:4">
      <c r="A66" s="1"/>
      <c r="B66" s="1"/>
      <c r="C66" s="1"/>
    </row>
    <row r="67" spans="1:4">
      <c r="A67" s="1"/>
      <c r="B67" s="1"/>
      <c r="C67" s="1"/>
    </row>
    <row r="68" spans="1:4">
      <c r="A68" s="1"/>
      <c r="B68" s="1"/>
      <c r="C68" s="1"/>
    </row>
    <row r="69" spans="1:4">
      <c r="A69" s="1"/>
      <c r="B69" s="1"/>
      <c r="C69" s="1"/>
    </row>
    <row r="70" spans="1:4">
      <c r="A70" s="1"/>
      <c r="B70" s="1"/>
      <c r="C70" s="1"/>
    </row>
  </sheetData>
  <mergeCells count="17">
    <mergeCell ref="A1:B1"/>
    <mergeCell ref="E1:H1"/>
    <mergeCell ref="A2:D2"/>
    <mergeCell ref="E2:H2"/>
    <mergeCell ref="A3:A5"/>
    <mergeCell ref="B3:B5"/>
    <mergeCell ref="C3:D4"/>
    <mergeCell ref="E3:J3"/>
    <mergeCell ref="A22:L22"/>
    <mergeCell ref="A25:L25"/>
    <mergeCell ref="A30:L30"/>
    <mergeCell ref="K3:L4"/>
    <mergeCell ref="E4:F4"/>
    <mergeCell ref="G4:H4"/>
    <mergeCell ref="I4:J4"/>
    <mergeCell ref="A6:L6"/>
    <mergeCell ref="A12:L12"/>
  </mergeCells>
  <pageMargins left="0.32291666666666669" right="0.7" top="0.29166666666666669" bottom="0.44791666666666669" header="0.3" footer="0.3"/>
  <pageSetup paperSize="9" orientation="landscape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69"/>
  <sheetViews>
    <sheetView topLeftCell="A4" zoomScaleNormal="100" workbookViewId="0">
      <selection activeCell="B13" sqref="B13:L13"/>
    </sheetView>
  </sheetViews>
  <sheetFormatPr defaultRowHeight="15"/>
  <cols>
    <col min="1" max="1" width="10.5703125" style="73" customWidth="1"/>
    <col min="2" max="2" width="37" style="73" customWidth="1"/>
    <col min="3" max="3" width="7.28515625" style="73" customWidth="1"/>
    <col min="4" max="4" width="9" style="73" customWidth="1"/>
    <col min="5" max="5" width="6.7109375" style="73" customWidth="1"/>
    <col min="6" max="6" width="6.85546875" style="73" customWidth="1"/>
    <col min="7" max="7" width="6.42578125" style="73" customWidth="1"/>
    <col min="8" max="8" width="6.5703125" style="73" customWidth="1"/>
    <col min="9" max="9" width="7.5703125" style="73" customWidth="1"/>
    <col min="10" max="10" width="7.42578125" style="73" customWidth="1"/>
    <col min="11" max="11" width="9.7109375" style="73" customWidth="1"/>
    <col min="12" max="12" width="9.42578125" style="73" customWidth="1"/>
    <col min="13" max="13" width="9" style="73" customWidth="1"/>
    <col min="14" max="14" width="7.28515625" style="73" customWidth="1"/>
    <col min="15" max="18" width="9.140625" style="73"/>
    <col min="19" max="19" width="19.7109375" style="73" customWidth="1"/>
    <col min="20" max="20" width="7.7109375" style="73" customWidth="1"/>
    <col min="21" max="21" width="9.140625" style="73"/>
    <col min="22" max="22" width="7.7109375" style="73" customWidth="1"/>
    <col min="23" max="16384" width="9.140625" style="73"/>
  </cols>
  <sheetData>
    <row r="1" spans="1:24" ht="15.75">
      <c r="A1" s="107" t="s">
        <v>122</v>
      </c>
      <c r="B1" s="107"/>
      <c r="C1" s="60"/>
      <c r="D1" s="60"/>
      <c r="E1" s="108" t="s">
        <v>170</v>
      </c>
      <c r="F1" s="108"/>
      <c r="G1" s="108"/>
      <c r="H1" s="108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5.75">
      <c r="A2" s="109" t="s">
        <v>123</v>
      </c>
      <c r="B2" s="109"/>
      <c r="C2" s="109"/>
      <c r="D2" s="109"/>
      <c r="E2" s="109" t="s">
        <v>229</v>
      </c>
      <c r="F2" s="109"/>
      <c r="G2" s="109"/>
      <c r="H2" s="109"/>
      <c r="I2" s="61"/>
      <c r="J2" s="61"/>
      <c r="K2" s="61"/>
      <c r="L2" s="61"/>
      <c r="M2" s="36"/>
      <c r="N2" s="36"/>
      <c r="O2" s="1"/>
      <c r="P2" s="1"/>
      <c r="Q2" s="1"/>
      <c r="R2" s="1"/>
      <c r="S2" s="36"/>
      <c r="T2" s="36"/>
      <c r="U2" s="1"/>
      <c r="V2" s="1"/>
      <c r="W2" s="1"/>
      <c r="X2" s="1"/>
    </row>
    <row r="3" spans="1:24" ht="15" customHeight="1">
      <c r="A3" s="110" t="s">
        <v>0</v>
      </c>
      <c r="B3" s="113" t="s">
        <v>1</v>
      </c>
      <c r="C3" s="116" t="s">
        <v>8</v>
      </c>
      <c r="D3" s="117"/>
      <c r="E3" s="103" t="s">
        <v>9</v>
      </c>
      <c r="F3" s="103"/>
      <c r="G3" s="103"/>
      <c r="H3" s="103"/>
      <c r="I3" s="103"/>
      <c r="J3" s="103"/>
      <c r="K3" s="102" t="s">
        <v>7</v>
      </c>
      <c r="L3" s="102"/>
      <c r="M3" s="1"/>
      <c r="N3" s="37"/>
      <c r="O3" s="40"/>
      <c r="P3" s="40"/>
      <c r="Q3" s="40"/>
      <c r="R3" s="40"/>
      <c r="S3" s="1"/>
      <c r="T3" s="37"/>
      <c r="U3" s="40"/>
      <c r="V3" s="40"/>
      <c r="W3" s="40"/>
      <c r="X3" s="40"/>
    </row>
    <row r="4" spans="1:24">
      <c r="A4" s="111"/>
      <c r="B4" s="114"/>
      <c r="C4" s="116"/>
      <c r="D4" s="117"/>
      <c r="E4" s="103" t="s">
        <v>5</v>
      </c>
      <c r="F4" s="103"/>
      <c r="G4" s="102" t="s">
        <v>4</v>
      </c>
      <c r="H4" s="102"/>
      <c r="I4" s="103" t="s">
        <v>6</v>
      </c>
      <c r="J4" s="103"/>
      <c r="K4" s="102"/>
      <c r="L4" s="102"/>
      <c r="M4" s="1"/>
      <c r="N4" s="37"/>
      <c r="O4" s="40"/>
      <c r="P4" s="40"/>
      <c r="Q4" s="40"/>
      <c r="R4" s="40"/>
      <c r="S4" s="1"/>
      <c r="T4" s="37"/>
      <c r="U4" s="40"/>
      <c r="V4" s="40"/>
      <c r="W4" s="40"/>
      <c r="X4" s="40"/>
    </row>
    <row r="5" spans="1:24" ht="63">
      <c r="A5" s="112"/>
      <c r="B5" s="115"/>
      <c r="C5" s="75" t="s">
        <v>128</v>
      </c>
      <c r="D5" s="76" t="s">
        <v>127</v>
      </c>
      <c r="E5" s="75" t="s">
        <v>128</v>
      </c>
      <c r="F5" s="76" t="s">
        <v>127</v>
      </c>
      <c r="G5" s="75" t="s">
        <v>128</v>
      </c>
      <c r="H5" s="76" t="s">
        <v>127</v>
      </c>
      <c r="I5" s="75" t="s">
        <v>128</v>
      </c>
      <c r="J5" s="76" t="s">
        <v>127</v>
      </c>
      <c r="K5" s="75" t="s">
        <v>128</v>
      </c>
      <c r="L5" s="77" t="s">
        <v>127</v>
      </c>
      <c r="M5" s="1"/>
      <c r="N5" s="37"/>
      <c r="O5" s="40"/>
      <c r="P5" s="40"/>
      <c r="Q5" s="40"/>
      <c r="R5" s="40"/>
      <c r="S5" s="1"/>
      <c r="T5" s="37"/>
      <c r="U5" s="40"/>
      <c r="V5" s="40"/>
      <c r="W5" s="40"/>
      <c r="X5" s="40"/>
    </row>
    <row r="6" spans="1:24">
      <c r="A6" s="99" t="s">
        <v>10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1"/>
      <c r="M6" s="1"/>
      <c r="N6" s="37"/>
      <c r="O6" s="40"/>
      <c r="P6" s="40"/>
      <c r="Q6" s="40"/>
      <c r="R6" s="40"/>
      <c r="S6" s="1"/>
      <c r="T6" s="37"/>
      <c r="U6" s="40"/>
      <c r="V6" s="40"/>
      <c r="W6" s="40"/>
      <c r="X6" s="40"/>
    </row>
    <row r="7" spans="1:24">
      <c r="A7" s="47" t="s">
        <v>219</v>
      </c>
      <c r="B7" s="74" t="s">
        <v>220</v>
      </c>
      <c r="C7" s="15">
        <v>160</v>
      </c>
      <c r="D7" s="20">
        <v>200</v>
      </c>
      <c r="E7" s="13">
        <f>C7*2.9/100</f>
        <v>4.6399999999999997</v>
      </c>
      <c r="F7" s="17">
        <f>D7*2.9/100</f>
        <v>5.8</v>
      </c>
      <c r="G7" s="13">
        <f>C7*4.2/100</f>
        <v>6.72</v>
      </c>
      <c r="H7" s="17">
        <f>D7*4.2/100</f>
        <v>8.4</v>
      </c>
      <c r="I7" s="13">
        <f>C7*14.5/100</f>
        <v>23.2</v>
      </c>
      <c r="J7" s="17">
        <f>D7*14.5/100</f>
        <v>29</v>
      </c>
      <c r="K7" s="15">
        <f t="shared" ref="K7:L11" si="0">E7*4+G7*9+I7*4</f>
        <v>171.83999999999997</v>
      </c>
      <c r="L7" s="17">
        <f t="shared" si="0"/>
        <v>214.8</v>
      </c>
      <c r="M7" s="1"/>
      <c r="N7" s="37"/>
      <c r="O7" s="40"/>
      <c r="P7" s="40"/>
      <c r="Q7" s="40"/>
      <c r="R7" s="40"/>
      <c r="S7" s="1"/>
      <c r="T7" s="37"/>
      <c r="U7" s="40"/>
      <c r="V7" s="40"/>
      <c r="W7" s="40"/>
      <c r="X7" s="40"/>
    </row>
    <row r="8" spans="1:24">
      <c r="A8" s="65"/>
      <c r="B8" s="2" t="s">
        <v>2</v>
      </c>
      <c r="C8" s="14">
        <v>30</v>
      </c>
      <c r="D8" s="21">
        <v>40</v>
      </c>
      <c r="E8" s="14">
        <f>C8*7.5/100</f>
        <v>2.25</v>
      </c>
      <c r="F8" s="27">
        <f>D8*7.5/100</f>
        <v>3</v>
      </c>
      <c r="G8" s="13">
        <f>C8*2.9/100</f>
        <v>0.87</v>
      </c>
      <c r="H8" s="18">
        <f>D8*2.9/100</f>
        <v>1.1599999999999999</v>
      </c>
      <c r="I8" s="15">
        <f>C8*51.4/100</f>
        <v>15.42</v>
      </c>
      <c r="J8" s="18">
        <f>D8*51.4/100</f>
        <v>20.56</v>
      </c>
      <c r="K8" s="15">
        <f t="shared" si="0"/>
        <v>78.509999999999991</v>
      </c>
      <c r="L8" s="18">
        <f t="shared" si="0"/>
        <v>104.67999999999999</v>
      </c>
      <c r="M8" s="1"/>
      <c r="N8" s="37"/>
      <c r="O8" s="40"/>
      <c r="P8" s="40"/>
      <c r="Q8" s="40"/>
      <c r="R8" s="40"/>
      <c r="S8" s="1"/>
      <c r="T8" s="37"/>
      <c r="U8" s="40"/>
      <c r="V8" s="40"/>
      <c r="W8" s="40"/>
      <c r="X8" s="40"/>
    </row>
    <row r="9" spans="1:24">
      <c r="A9" s="81" t="s">
        <v>156</v>
      </c>
      <c r="B9" s="4" t="s">
        <v>155</v>
      </c>
      <c r="C9" s="15">
        <v>10</v>
      </c>
      <c r="D9" s="22">
        <v>10</v>
      </c>
      <c r="E9" s="15">
        <f>C9*2.32/10</f>
        <v>2.3199999999999998</v>
      </c>
      <c r="F9" s="18">
        <f>D9*2.31/10</f>
        <v>2.31</v>
      </c>
      <c r="G9" s="13">
        <f>C9*2.96/10</f>
        <v>2.96</v>
      </c>
      <c r="H9" s="17">
        <f>D9*2.96/10</f>
        <v>2.96</v>
      </c>
      <c r="I9" s="24">
        <f>C9*0/10</f>
        <v>0</v>
      </c>
      <c r="J9" s="19">
        <f>D9*0/10</f>
        <v>0</v>
      </c>
      <c r="K9" s="13">
        <f t="shared" si="0"/>
        <v>35.92</v>
      </c>
      <c r="L9" s="17">
        <f t="shared" si="0"/>
        <v>35.880000000000003</v>
      </c>
      <c r="M9" s="1"/>
      <c r="N9" s="37"/>
      <c r="O9" s="40"/>
      <c r="P9" s="40"/>
      <c r="Q9" s="40"/>
      <c r="R9" s="40"/>
      <c r="S9" s="1"/>
      <c r="T9" s="37"/>
      <c r="U9" s="40"/>
      <c r="V9" s="40"/>
      <c r="W9" s="40"/>
      <c r="X9" s="40"/>
    </row>
    <row r="10" spans="1:24">
      <c r="A10" s="47" t="s">
        <v>158</v>
      </c>
      <c r="B10" s="2" t="s">
        <v>25</v>
      </c>
      <c r="C10" s="15">
        <v>200</v>
      </c>
      <c r="D10" s="18">
        <v>200</v>
      </c>
      <c r="E10" s="13">
        <f>C10*2.7/200</f>
        <v>2.7</v>
      </c>
      <c r="F10" s="17">
        <f>D10*2.7/200</f>
        <v>2.7</v>
      </c>
      <c r="G10" s="13">
        <f>C10*2.8/200</f>
        <v>2.8</v>
      </c>
      <c r="H10" s="17">
        <f>D10*2.8/200</f>
        <v>2.8</v>
      </c>
      <c r="I10" s="13">
        <f>C10*22.4/200</f>
        <v>22.4</v>
      </c>
      <c r="J10" s="17">
        <f>D10*22.4/200</f>
        <v>22.4</v>
      </c>
      <c r="K10" s="13">
        <f t="shared" si="0"/>
        <v>125.6</v>
      </c>
      <c r="L10" s="17">
        <f t="shared" si="0"/>
        <v>125.6</v>
      </c>
      <c r="M10" s="1"/>
      <c r="N10" s="37"/>
      <c r="O10" s="40"/>
      <c r="P10" s="40"/>
      <c r="Q10" s="40"/>
      <c r="R10" s="40"/>
      <c r="S10" s="1"/>
      <c r="T10" s="37"/>
      <c r="U10" s="40"/>
      <c r="V10" s="40"/>
      <c r="W10" s="40"/>
      <c r="X10" s="40"/>
    </row>
    <row r="11" spans="1:24">
      <c r="A11" s="64"/>
      <c r="B11" s="7" t="s">
        <v>19</v>
      </c>
      <c r="C11" s="62">
        <f t="shared" ref="C11:J11" si="1">SUM(C7:C10)</f>
        <v>400</v>
      </c>
      <c r="D11" s="23">
        <f t="shared" si="1"/>
        <v>450</v>
      </c>
      <c r="E11" s="10">
        <f t="shared" si="1"/>
        <v>11.91</v>
      </c>
      <c r="F11" s="16">
        <f t="shared" si="1"/>
        <v>13.810000000000002</v>
      </c>
      <c r="G11" s="10">
        <f t="shared" si="1"/>
        <v>13.350000000000001</v>
      </c>
      <c r="H11" s="16">
        <f t="shared" si="1"/>
        <v>15.32</v>
      </c>
      <c r="I11" s="10">
        <f t="shared" si="1"/>
        <v>61.019999999999996</v>
      </c>
      <c r="J11" s="16">
        <f t="shared" si="1"/>
        <v>71.960000000000008</v>
      </c>
      <c r="K11" s="10">
        <f t="shared" si="0"/>
        <v>411.87</v>
      </c>
      <c r="L11" s="16">
        <f t="shared" si="0"/>
        <v>480.96000000000004</v>
      </c>
      <c r="M11" s="1"/>
      <c r="N11" s="37"/>
      <c r="O11" s="40"/>
      <c r="P11" s="40"/>
      <c r="Q11" s="40"/>
      <c r="R11" s="40"/>
      <c r="S11" s="1"/>
      <c r="T11" s="37"/>
      <c r="U11" s="40"/>
      <c r="V11" s="40"/>
      <c r="W11" s="40"/>
      <c r="X11" s="40"/>
    </row>
    <row r="12" spans="1:24">
      <c r="A12" s="104" t="s">
        <v>11</v>
      </c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06"/>
      <c r="M12" s="1"/>
      <c r="N12" s="37"/>
      <c r="O12" s="40"/>
      <c r="P12" s="40"/>
      <c r="Q12" s="40"/>
      <c r="R12" s="40"/>
      <c r="S12" s="1"/>
      <c r="T12" s="37"/>
      <c r="U12" s="40"/>
      <c r="V12" s="40"/>
      <c r="W12" s="40"/>
      <c r="X12" s="40"/>
    </row>
    <row r="13" spans="1:24">
      <c r="A13" s="47"/>
      <c r="B13" s="2" t="s">
        <v>178</v>
      </c>
      <c r="C13" s="14">
        <v>60</v>
      </c>
      <c r="D13" s="54">
        <v>100</v>
      </c>
      <c r="E13" s="83">
        <f>C13*0.7/100</f>
        <v>0.42</v>
      </c>
      <c r="F13" s="84">
        <f>D13*0.7/100</f>
        <v>0.7</v>
      </c>
      <c r="G13" s="83">
        <f>C13*0.1/100</f>
        <v>0.06</v>
      </c>
      <c r="H13" s="84">
        <f>D13*0.1/100</f>
        <v>0.1</v>
      </c>
      <c r="I13" s="83">
        <f>C13*1.9/100</f>
        <v>1.1399999999999999</v>
      </c>
      <c r="J13" s="84">
        <f>D13*1.9/100</f>
        <v>1.9</v>
      </c>
      <c r="K13" s="83">
        <f t="shared" ref="K13:L27" si="2">E13*4+G13*9+I13*4</f>
        <v>6.7799999999999994</v>
      </c>
      <c r="L13" s="84">
        <f t="shared" si="2"/>
        <v>11.299999999999999</v>
      </c>
      <c r="M13" s="1"/>
      <c r="N13" s="37"/>
      <c r="O13" s="40"/>
      <c r="P13" s="40"/>
      <c r="Q13" s="40"/>
      <c r="R13" s="40"/>
      <c r="S13" s="1"/>
      <c r="T13" s="37"/>
      <c r="U13" s="40"/>
      <c r="V13" s="40"/>
      <c r="W13" s="40"/>
      <c r="X13" s="40"/>
    </row>
    <row r="14" spans="1:24">
      <c r="A14" s="47" t="s">
        <v>222</v>
      </c>
      <c r="B14" s="2" t="s">
        <v>221</v>
      </c>
      <c r="C14" s="14">
        <v>200</v>
      </c>
      <c r="D14" s="54">
        <v>250</v>
      </c>
      <c r="E14" s="83">
        <f>C14*2.6/250</f>
        <v>2.08</v>
      </c>
      <c r="F14" s="84">
        <f>D14*2.6/250</f>
        <v>2.6</v>
      </c>
      <c r="G14" s="83">
        <f>C14*5.3/250</f>
        <v>4.24</v>
      </c>
      <c r="H14" s="84">
        <f>D14*5.3/250</f>
        <v>5.3</v>
      </c>
      <c r="I14" s="83">
        <f>C14*14.3/250</f>
        <v>11.44</v>
      </c>
      <c r="J14" s="84">
        <f>D14*14.3/250</f>
        <v>14.3</v>
      </c>
      <c r="K14" s="83">
        <f t="shared" si="2"/>
        <v>92.240000000000009</v>
      </c>
      <c r="L14" s="84">
        <f t="shared" si="2"/>
        <v>115.3</v>
      </c>
      <c r="M14" s="1"/>
      <c r="N14" s="37"/>
      <c r="O14" s="40"/>
      <c r="P14" s="40"/>
      <c r="Q14" s="40"/>
      <c r="R14" s="40"/>
      <c r="S14" s="1"/>
      <c r="T14" s="37"/>
      <c r="U14" s="40"/>
      <c r="V14" s="40"/>
      <c r="W14" s="40"/>
      <c r="X14" s="40"/>
    </row>
    <row r="15" spans="1:24">
      <c r="A15" s="47"/>
      <c r="B15" s="5" t="s">
        <v>161</v>
      </c>
      <c r="C15" s="15">
        <v>10</v>
      </c>
      <c r="D15" s="18">
        <v>10</v>
      </c>
      <c r="E15" s="15">
        <f>C15*2.6/100</f>
        <v>0.26</v>
      </c>
      <c r="F15" s="18">
        <f>D15*2.6/100</f>
        <v>0.26</v>
      </c>
      <c r="G15" s="13">
        <f>C15*15/100</f>
        <v>1.5</v>
      </c>
      <c r="H15" s="17">
        <f>D15*15/100</f>
        <v>1.5</v>
      </c>
      <c r="I15" s="15">
        <f>C15*3.6/100</f>
        <v>0.36</v>
      </c>
      <c r="J15" s="18">
        <f>D15*3.6/100</f>
        <v>0.36</v>
      </c>
      <c r="K15" s="13">
        <f t="shared" si="2"/>
        <v>15.979999999999999</v>
      </c>
      <c r="L15" s="17">
        <f t="shared" si="2"/>
        <v>15.979999999999999</v>
      </c>
      <c r="M15" s="32"/>
      <c r="N15" s="32"/>
      <c r="O15" s="40"/>
      <c r="P15" s="40"/>
      <c r="Q15" s="40"/>
      <c r="R15" s="40"/>
      <c r="S15" s="1"/>
      <c r="T15" s="37"/>
      <c r="U15" s="40"/>
      <c r="V15" s="40"/>
      <c r="W15" s="40"/>
      <c r="X15" s="40"/>
    </row>
    <row r="16" spans="1:24">
      <c r="A16" s="47" t="s">
        <v>224</v>
      </c>
      <c r="B16" s="86" t="s">
        <v>223</v>
      </c>
      <c r="C16" s="15">
        <v>230</v>
      </c>
      <c r="D16" s="18">
        <v>250</v>
      </c>
      <c r="E16" s="13">
        <f>C16*12.62/150</f>
        <v>19.350666666666665</v>
      </c>
      <c r="F16" s="17">
        <f>D16*12.62/150</f>
        <v>21.033333333333335</v>
      </c>
      <c r="G16" s="15">
        <f>C16*28.17/150</f>
        <v>43.194000000000003</v>
      </c>
      <c r="H16" s="17">
        <f>D16*28.17/150</f>
        <v>46.95</v>
      </c>
      <c r="I16" s="13">
        <f>C16*25.69/100</f>
        <v>59.08700000000001</v>
      </c>
      <c r="J16" s="17">
        <f>D16*25.69/150</f>
        <v>42.81666666666667</v>
      </c>
      <c r="K16" s="13">
        <f t="shared" si="2"/>
        <v>702.49666666666678</v>
      </c>
      <c r="L16" s="17">
        <f t="shared" si="2"/>
        <v>677.95</v>
      </c>
      <c r="M16" s="1"/>
      <c r="N16" s="37"/>
      <c r="O16" s="40"/>
      <c r="P16" s="40"/>
      <c r="Q16" s="40"/>
      <c r="R16" s="40"/>
      <c r="S16" s="1"/>
      <c r="T16" s="37"/>
      <c r="U16" s="40"/>
      <c r="V16" s="40"/>
      <c r="W16" s="40"/>
      <c r="X16" s="40"/>
    </row>
    <row r="17" spans="1:24">
      <c r="A17" s="65" t="s">
        <v>129</v>
      </c>
      <c r="B17" s="5" t="s">
        <v>15</v>
      </c>
      <c r="C17" s="15">
        <v>200</v>
      </c>
      <c r="D17" s="18">
        <v>200</v>
      </c>
      <c r="E17" s="13">
        <f>C17*0.3/200</f>
        <v>0.3</v>
      </c>
      <c r="F17" s="17">
        <f>D17*0.3/200</f>
        <v>0.3</v>
      </c>
      <c r="G17" s="24">
        <f>C17*0/200</f>
        <v>0</v>
      </c>
      <c r="H17" s="17">
        <f>D17*0/200</f>
        <v>0</v>
      </c>
      <c r="I17" s="13">
        <f>C17*15.2/200</f>
        <v>15.2</v>
      </c>
      <c r="J17" s="17">
        <f>D17*15.2/200</f>
        <v>15.2</v>
      </c>
      <c r="K17" s="13">
        <f t="shared" si="2"/>
        <v>62</v>
      </c>
      <c r="L17" s="17">
        <f t="shared" si="2"/>
        <v>62</v>
      </c>
      <c r="M17" s="1"/>
      <c r="N17" s="37"/>
      <c r="O17" s="40"/>
      <c r="P17" s="40"/>
      <c r="Q17" s="40"/>
      <c r="R17" s="40"/>
      <c r="S17" s="1"/>
      <c r="T17" s="37"/>
      <c r="U17" s="40"/>
      <c r="V17" s="40"/>
      <c r="W17" s="40"/>
      <c r="X17" s="40"/>
    </row>
    <row r="18" spans="1:24">
      <c r="A18" s="65"/>
      <c r="B18" s="5" t="s">
        <v>217</v>
      </c>
      <c r="C18" s="15">
        <v>30</v>
      </c>
      <c r="D18" s="18">
        <v>40</v>
      </c>
      <c r="E18" s="13">
        <f>C18*6.6/100</f>
        <v>1.98</v>
      </c>
      <c r="F18" s="17">
        <f>D18*6.6/100</f>
        <v>2.64</v>
      </c>
      <c r="G18" s="13">
        <f>C18*1.1/100</f>
        <v>0.33</v>
      </c>
      <c r="H18" s="17">
        <f>D18*1.1/100</f>
        <v>0.44</v>
      </c>
      <c r="I18" s="13">
        <f>C18*43.9/100</f>
        <v>13.17</v>
      </c>
      <c r="J18" s="17">
        <f>D18*43.9/100</f>
        <v>17.559999999999999</v>
      </c>
      <c r="K18" s="13">
        <f t="shared" si="2"/>
        <v>63.57</v>
      </c>
      <c r="L18" s="17">
        <f t="shared" si="2"/>
        <v>84.759999999999991</v>
      </c>
      <c r="M18" s="1"/>
      <c r="N18" s="37"/>
      <c r="O18" s="40"/>
      <c r="P18" s="40"/>
      <c r="Q18" s="40"/>
      <c r="R18" s="40"/>
      <c r="S18" s="1"/>
      <c r="T18" s="37"/>
      <c r="U18" s="40"/>
      <c r="V18" s="40"/>
      <c r="W18" s="40"/>
      <c r="X18" s="40"/>
    </row>
    <row r="19" spans="1:24">
      <c r="A19" s="65"/>
      <c r="B19" s="5" t="s">
        <v>216</v>
      </c>
      <c r="C19" s="15">
        <v>30</v>
      </c>
      <c r="D19" s="18">
        <v>40</v>
      </c>
      <c r="E19" s="13">
        <f>C19*7.7/100</f>
        <v>2.31</v>
      </c>
      <c r="F19" s="17">
        <f>D19*7.7/100</f>
        <v>3.08</v>
      </c>
      <c r="G19" s="13">
        <f>C19*0.8/100</f>
        <v>0.24</v>
      </c>
      <c r="H19" s="17">
        <f>D19*0.8/100</f>
        <v>0.32</v>
      </c>
      <c r="I19" s="13">
        <f>C19*49.5/100</f>
        <v>14.85</v>
      </c>
      <c r="J19" s="17">
        <f>D19*49.5/100</f>
        <v>19.8</v>
      </c>
      <c r="K19" s="13">
        <f t="shared" si="2"/>
        <v>70.8</v>
      </c>
      <c r="L19" s="17">
        <f t="shared" si="2"/>
        <v>94.4</v>
      </c>
      <c r="M19" s="1"/>
      <c r="N19" s="37"/>
      <c r="O19" s="40"/>
      <c r="P19" s="40"/>
      <c r="Q19" s="40"/>
      <c r="R19" s="40"/>
      <c r="S19" s="1"/>
      <c r="T19" s="37"/>
      <c r="U19" s="40"/>
      <c r="V19" s="40"/>
      <c r="W19" s="40"/>
      <c r="X19" s="40"/>
    </row>
    <row r="20" spans="1:24">
      <c r="A20" s="65"/>
      <c r="B20" s="5" t="s">
        <v>248</v>
      </c>
      <c r="C20" s="15">
        <v>100</v>
      </c>
      <c r="D20" s="18">
        <v>100</v>
      </c>
      <c r="E20" s="13">
        <v>0.4</v>
      </c>
      <c r="F20" s="17">
        <v>0.4</v>
      </c>
      <c r="G20" s="13">
        <v>0.4</v>
      </c>
      <c r="H20" s="17">
        <v>0.4</v>
      </c>
      <c r="I20" s="13">
        <v>9.8000000000000007</v>
      </c>
      <c r="J20" s="17">
        <v>9.8000000000000007</v>
      </c>
      <c r="K20" s="13">
        <f t="shared" si="2"/>
        <v>44.400000000000006</v>
      </c>
      <c r="L20" s="17">
        <f t="shared" si="2"/>
        <v>44.400000000000006</v>
      </c>
      <c r="M20" s="1"/>
      <c r="N20" s="37"/>
      <c r="O20" s="40"/>
      <c r="P20" s="40"/>
      <c r="Q20" s="40"/>
      <c r="R20" s="40"/>
      <c r="S20" s="1"/>
      <c r="T20" s="37"/>
      <c r="U20" s="40"/>
      <c r="V20" s="40"/>
      <c r="W20" s="40"/>
      <c r="X20" s="40"/>
    </row>
    <row r="21" spans="1:24">
      <c r="A21" s="65"/>
      <c r="B21" s="7" t="s">
        <v>20</v>
      </c>
      <c r="C21" s="62">
        <f t="shared" ref="C21:L21" si="3">SUM(C13:C20)</f>
        <v>860</v>
      </c>
      <c r="D21" s="28">
        <f t="shared" si="3"/>
        <v>990</v>
      </c>
      <c r="E21" s="10">
        <f t="shared" si="3"/>
        <v>27.100666666666665</v>
      </c>
      <c r="F21" s="16">
        <f t="shared" si="3"/>
        <v>31.013333333333335</v>
      </c>
      <c r="G21" s="62">
        <f t="shared" si="3"/>
        <v>49.963999999999999</v>
      </c>
      <c r="H21" s="16">
        <f t="shared" si="3"/>
        <v>55.01</v>
      </c>
      <c r="I21" s="62">
        <f t="shared" si="3"/>
        <v>125.04700000000001</v>
      </c>
      <c r="J21" s="16">
        <f t="shared" si="3"/>
        <v>121.73666666666666</v>
      </c>
      <c r="K21" s="10">
        <f t="shared" si="3"/>
        <v>1058.2666666666669</v>
      </c>
      <c r="L21" s="16">
        <f t="shared" si="3"/>
        <v>1106.0900000000001</v>
      </c>
      <c r="M21" s="1"/>
      <c r="N21" s="37"/>
      <c r="O21" s="40"/>
      <c r="P21" s="40"/>
      <c r="Q21" s="40"/>
      <c r="R21" s="40"/>
      <c r="S21" s="1"/>
      <c r="T21" s="37"/>
      <c r="U21" s="40"/>
      <c r="V21" s="40"/>
      <c r="W21" s="40"/>
      <c r="X21" s="40"/>
    </row>
    <row r="22" spans="1:24">
      <c r="A22" s="99"/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1"/>
      <c r="M22" s="1"/>
      <c r="N22" s="37"/>
      <c r="O22" s="40"/>
      <c r="P22" s="40"/>
      <c r="Q22" s="40"/>
      <c r="R22" s="40"/>
      <c r="S22" s="1"/>
      <c r="T22" s="37"/>
      <c r="U22" s="40"/>
      <c r="V22" s="40"/>
      <c r="W22" s="40"/>
      <c r="X22" s="40"/>
    </row>
    <row r="23" spans="1:24">
      <c r="A23" s="29"/>
      <c r="B23" s="30" t="s">
        <v>16</v>
      </c>
      <c r="C23" s="31"/>
      <c r="D23" s="31"/>
      <c r="E23" s="33">
        <f t="shared" ref="E23:L23" si="4">E11+E21</f>
        <v>39.010666666666665</v>
      </c>
      <c r="F23" s="34">
        <f t="shared" si="4"/>
        <v>44.823333333333338</v>
      </c>
      <c r="G23" s="33">
        <f t="shared" si="4"/>
        <v>63.314</v>
      </c>
      <c r="H23" s="34">
        <f t="shared" si="4"/>
        <v>70.33</v>
      </c>
      <c r="I23" s="33">
        <f t="shared" si="4"/>
        <v>186.06700000000001</v>
      </c>
      <c r="J23" s="34">
        <f t="shared" si="4"/>
        <v>193.69666666666666</v>
      </c>
      <c r="K23" s="33">
        <f t="shared" si="4"/>
        <v>1470.1366666666668</v>
      </c>
      <c r="L23" s="34">
        <f t="shared" si="4"/>
        <v>1587.0500000000002</v>
      </c>
      <c r="M23" s="1"/>
      <c r="N23" s="37"/>
      <c r="O23" s="40"/>
      <c r="P23" s="40"/>
      <c r="Q23" s="40"/>
      <c r="R23" s="40"/>
      <c r="S23" s="1"/>
      <c r="T23" s="37"/>
      <c r="U23" s="40"/>
      <c r="V23" s="40"/>
      <c r="W23" s="40"/>
      <c r="X23" s="40"/>
    </row>
    <row r="24" spans="1:24">
      <c r="A24" s="65"/>
      <c r="B24" s="39" t="s">
        <v>30</v>
      </c>
      <c r="C24" s="38"/>
      <c r="D24" s="38"/>
      <c r="E24" s="79">
        <v>46.2</v>
      </c>
      <c r="F24" s="80">
        <v>54</v>
      </c>
      <c r="G24" s="79">
        <v>47.4</v>
      </c>
      <c r="H24" s="79">
        <v>55.2</v>
      </c>
      <c r="I24" s="80">
        <v>201</v>
      </c>
      <c r="J24" s="79">
        <v>229.8</v>
      </c>
      <c r="K24" s="80">
        <v>1410</v>
      </c>
      <c r="L24" s="80">
        <v>1632</v>
      </c>
      <c r="M24" s="1"/>
      <c r="N24" s="37"/>
      <c r="O24" s="40"/>
      <c r="P24" s="40"/>
      <c r="Q24" s="40"/>
      <c r="R24" s="40"/>
      <c r="S24" s="1"/>
      <c r="T24" s="37"/>
      <c r="U24" s="40"/>
      <c r="V24" s="40"/>
      <c r="W24" s="40"/>
      <c r="X24" s="40"/>
    </row>
    <row r="25" spans="1:24">
      <c r="A25" s="99" t="s">
        <v>35</v>
      </c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1"/>
      <c r="M25" s="1"/>
      <c r="N25" s="37"/>
      <c r="O25" s="40"/>
      <c r="P25" s="40"/>
      <c r="Q25" s="40"/>
      <c r="R25" s="40"/>
      <c r="S25" s="1"/>
      <c r="T25" s="37"/>
      <c r="U25" s="40"/>
      <c r="V25" s="40"/>
      <c r="W25" s="40"/>
      <c r="X25" s="40"/>
    </row>
    <row r="26" spans="1:24">
      <c r="A26" s="47" t="s">
        <v>227</v>
      </c>
      <c r="B26" s="2" t="s">
        <v>228</v>
      </c>
      <c r="C26" s="15">
        <v>75</v>
      </c>
      <c r="D26" s="18">
        <v>75</v>
      </c>
      <c r="E26" s="13">
        <f>C26*4.8/75</f>
        <v>4.8</v>
      </c>
      <c r="F26" s="17">
        <f>D26*4.8/75</f>
        <v>4.8</v>
      </c>
      <c r="G26" s="13">
        <f>C26*8.5/75</f>
        <v>8.5</v>
      </c>
      <c r="H26" s="17">
        <f>D26*8.5/75</f>
        <v>8.5</v>
      </c>
      <c r="I26" s="13">
        <f>C26*48.4/75</f>
        <v>48.4</v>
      </c>
      <c r="J26" s="17">
        <f>D26*48.4/75</f>
        <v>48.4</v>
      </c>
      <c r="K26" s="13">
        <f t="shared" si="2"/>
        <v>289.3</v>
      </c>
      <c r="L26" s="17">
        <f t="shared" si="2"/>
        <v>289.3</v>
      </c>
      <c r="M26" s="1"/>
      <c r="N26" s="37"/>
      <c r="O26" s="40"/>
      <c r="P26" s="40"/>
      <c r="Q26" s="40"/>
      <c r="R26" s="40"/>
      <c r="S26" s="1"/>
      <c r="T26" s="37"/>
      <c r="U26" s="40"/>
      <c r="V26" s="40"/>
      <c r="W26" s="40"/>
      <c r="X26" s="40"/>
    </row>
    <row r="27" spans="1:24">
      <c r="A27" s="65" t="s">
        <v>129</v>
      </c>
      <c r="B27" s="5" t="s">
        <v>15</v>
      </c>
      <c r="C27" s="15">
        <v>200</v>
      </c>
      <c r="D27" s="18">
        <v>200</v>
      </c>
      <c r="E27" s="13">
        <f>C27*0.3/200</f>
        <v>0.3</v>
      </c>
      <c r="F27" s="17">
        <f>D27*0.3/200</f>
        <v>0.3</v>
      </c>
      <c r="G27" s="24">
        <f>C27*0/200</f>
        <v>0</v>
      </c>
      <c r="H27" s="17">
        <f>D27*0/200</f>
        <v>0</v>
      </c>
      <c r="I27" s="13">
        <f>C27*15.2/200</f>
        <v>15.2</v>
      </c>
      <c r="J27" s="17">
        <f>D27*15.2/200</f>
        <v>15.2</v>
      </c>
      <c r="K27" s="13">
        <f t="shared" si="2"/>
        <v>62</v>
      </c>
      <c r="L27" s="17">
        <f t="shared" si="2"/>
        <v>62</v>
      </c>
      <c r="M27" s="1"/>
      <c r="N27" s="37"/>
      <c r="O27" s="40"/>
      <c r="P27" s="40"/>
      <c r="Q27" s="40"/>
      <c r="R27" s="40"/>
      <c r="S27" s="1"/>
      <c r="T27" s="37"/>
      <c r="U27" s="40"/>
      <c r="V27" s="40"/>
      <c r="W27" s="40"/>
      <c r="X27" s="40"/>
    </row>
    <row r="28" spans="1:24">
      <c r="A28" s="65"/>
      <c r="B28" s="7" t="s">
        <v>18</v>
      </c>
      <c r="C28" s="62">
        <f t="shared" ref="C28:L28" si="5">SUM(C26:C27)</f>
        <v>275</v>
      </c>
      <c r="D28" s="11">
        <f t="shared" si="5"/>
        <v>275</v>
      </c>
      <c r="E28" s="10">
        <f t="shared" si="5"/>
        <v>5.0999999999999996</v>
      </c>
      <c r="F28" s="16">
        <f t="shared" si="5"/>
        <v>5.0999999999999996</v>
      </c>
      <c r="G28" s="10">
        <f t="shared" si="5"/>
        <v>8.5</v>
      </c>
      <c r="H28" s="11">
        <f t="shared" si="5"/>
        <v>8.5</v>
      </c>
      <c r="I28" s="62">
        <f t="shared" si="5"/>
        <v>63.599999999999994</v>
      </c>
      <c r="J28" s="11">
        <f t="shared" si="5"/>
        <v>63.599999999999994</v>
      </c>
      <c r="K28" s="10">
        <f t="shared" si="5"/>
        <v>351.3</v>
      </c>
      <c r="L28" s="16">
        <f t="shared" si="5"/>
        <v>351.3</v>
      </c>
      <c r="M28" s="36"/>
      <c r="N28" s="49"/>
      <c r="O28" s="40"/>
      <c r="P28" s="40"/>
      <c r="Q28" s="40"/>
      <c r="R28" s="40"/>
      <c r="S28" s="36"/>
      <c r="T28" s="37"/>
      <c r="U28" s="40"/>
      <c r="V28" s="40"/>
      <c r="W28" s="40"/>
      <c r="X28" s="40"/>
    </row>
    <row r="29" spans="1:24">
      <c r="A29" s="99"/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1"/>
      <c r="N29" s="50"/>
      <c r="T29" s="51"/>
    </row>
    <row r="30" spans="1:24">
      <c r="A30" s="26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N30" s="44"/>
      <c r="T30" s="40"/>
    </row>
    <row r="31" spans="1:24">
      <c r="A31" s="26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N31" s="44"/>
      <c r="T31" s="40"/>
    </row>
    <row r="32" spans="1:24">
      <c r="A32" s="26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N32" s="45"/>
      <c r="T32" s="46"/>
    </row>
    <row r="33" spans="1:20">
      <c r="A33" s="26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N33" s="1"/>
      <c r="T33" s="1"/>
    </row>
    <row r="34" spans="1:20">
      <c r="A34" s="26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T34" s="1"/>
    </row>
    <row r="35" spans="1:20">
      <c r="A35" s="26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</row>
    <row r="36" spans="1:20">
      <c r="A36" s="26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</row>
    <row r="37" spans="1:20">
      <c r="A37" s="26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</row>
    <row r="38" spans="1:20">
      <c r="A38" s="36"/>
      <c r="B38" s="36"/>
      <c r="C38" s="36"/>
      <c r="D38" s="32"/>
      <c r="E38" s="32"/>
      <c r="F38" s="32"/>
      <c r="G38" s="32"/>
      <c r="H38" s="32"/>
      <c r="I38" s="32"/>
      <c r="J38" s="32"/>
      <c r="K38" s="32"/>
      <c r="L38" s="32"/>
    </row>
    <row r="39" spans="1:20">
      <c r="A39" s="1"/>
      <c r="B39" s="1"/>
      <c r="C39" s="37"/>
      <c r="D39" s="26"/>
      <c r="E39" s="26"/>
      <c r="F39" s="26"/>
      <c r="G39" s="26"/>
      <c r="H39" s="26"/>
      <c r="I39" s="26"/>
      <c r="J39" s="26"/>
      <c r="K39" s="26"/>
      <c r="L39" s="26"/>
      <c r="M39" s="1"/>
    </row>
    <row r="40" spans="1:20">
      <c r="A40" s="1"/>
      <c r="B40" s="1"/>
      <c r="C40" s="37"/>
      <c r="D40" s="26"/>
      <c r="E40" s="26"/>
      <c r="F40" s="26"/>
      <c r="G40" s="26"/>
      <c r="H40" s="26"/>
      <c r="I40" s="26"/>
      <c r="J40" s="26"/>
      <c r="K40" s="26"/>
      <c r="L40" s="26"/>
      <c r="M40" s="1"/>
    </row>
    <row r="41" spans="1:20">
      <c r="A41" s="1"/>
      <c r="B41" s="1"/>
      <c r="C41" s="37"/>
      <c r="D41" s="26"/>
      <c r="E41" s="26"/>
      <c r="F41" s="26"/>
      <c r="G41" s="26"/>
      <c r="H41" s="26"/>
      <c r="I41" s="26"/>
      <c r="J41" s="26"/>
      <c r="K41" s="26"/>
      <c r="L41" s="26"/>
      <c r="M41" s="1"/>
    </row>
    <row r="42" spans="1:20">
      <c r="A42" s="1"/>
      <c r="B42" s="1"/>
      <c r="C42" s="37"/>
      <c r="D42" s="26"/>
      <c r="E42" s="26"/>
      <c r="F42" s="26"/>
      <c r="G42" s="26"/>
      <c r="H42" s="26"/>
      <c r="I42" s="26"/>
      <c r="J42" s="26"/>
      <c r="K42" s="26"/>
      <c r="L42" s="26"/>
      <c r="M42" s="1"/>
    </row>
    <row r="43" spans="1:20">
      <c r="A43" s="1"/>
      <c r="B43" s="1"/>
      <c r="C43" s="37"/>
      <c r="D43" s="1"/>
      <c r="I43" s="8"/>
      <c r="J43" s="8"/>
      <c r="K43" s="8"/>
      <c r="L43" s="8"/>
    </row>
    <row r="44" spans="1:20">
      <c r="A44" s="1"/>
      <c r="B44" s="1"/>
      <c r="C44" s="37"/>
      <c r="D44" s="1"/>
    </row>
    <row r="45" spans="1:20">
      <c r="A45" s="1"/>
      <c r="B45" s="1"/>
      <c r="C45" s="37"/>
      <c r="D45" s="1"/>
    </row>
    <row r="46" spans="1:20">
      <c r="A46" s="1"/>
      <c r="B46" s="1"/>
      <c r="C46" s="37"/>
      <c r="D46" s="1"/>
    </row>
    <row r="47" spans="1:20">
      <c r="A47" s="1"/>
      <c r="B47" s="1"/>
      <c r="C47" s="37"/>
      <c r="D47" s="1"/>
    </row>
    <row r="48" spans="1:20">
      <c r="A48" s="1"/>
      <c r="B48" s="1"/>
      <c r="C48" s="37"/>
      <c r="D48" s="1"/>
    </row>
    <row r="49" spans="1:4">
      <c r="A49" s="1"/>
      <c r="B49" s="1"/>
      <c r="C49" s="37"/>
      <c r="D49" s="1"/>
    </row>
    <row r="50" spans="1:4">
      <c r="A50" s="1"/>
      <c r="B50" s="1"/>
      <c r="C50" s="37"/>
      <c r="D50" s="1"/>
    </row>
    <row r="51" spans="1:4">
      <c r="A51" s="1"/>
      <c r="B51" s="1"/>
      <c r="C51" s="37"/>
      <c r="D51" s="1"/>
    </row>
    <row r="52" spans="1:4">
      <c r="A52" s="1"/>
      <c r="B52" s="1"/>
      <c r="C52" s="37"/>
      <c r="D52" s="1"/>
    </row>
    <row r="53" spans="1:4">
      <c r="A53" s="1"/>
      <c r="B53" s="1"/>
      <c r="C53" s="37"/>
      <c r="D53" s="1"/>
    </row>
    <row r="54" spans="1:4">
      <c r="A54" s="1"/>
      <c r="B54" s="1"/>
      <c r="C54" s="37"/>
      <c r="D54" s="1"/>
    </row>
    <row r="55" spans="1:4">
      <c r="A55" s="1"/>
      <c r="B55" s="1"/>
      <c r="C55" s="37"/>
      <c r="D55" s="1"/>
    </row>
    <row r="56" spans="1:4">
      <c r="A56" s="1"/>
      <c r="B56" s="1"/>
      <c r="C56" s="37"/>
      <c r="D56" s="1"/>
    </row>
    <row r="57" spans="1:4">
      <c r="A57" s="1"/>
      <c r="B57" s="1"/>
      <c r="C57" s="37"/>
      <c r="D57" s="1"/>
    </row>
    <row r="58" spans="1:4">
      <c r="A58" s="1"/>
      <c r="B58" s="1"/>
      <c r="C58" s="37"/>
      <c r="D58" s="1"/>
    </row>
    <row r="59" spans="1:4">
      <c r="A59" s="1"/>
      <c r="B59" s="1"/>
      <c r="C59" s="37"/>
      <c r="D59" s="1"/>
    </row>
    <row r="60" spans="1:4">
      <c r="A60" s="1"/>
      <c r="B60" s="1"/>
      <c r="C60" s="37"/>
      <c r="D60" s="1"/>
    </row>
    <row r="61" spans="1:4">
      <c r="A61" s="1"/>
      <c r="B61" s="1"/>
      <c r="C61" s="37"/>
      <c r="D61" s="1"/>
    </row>
    <row r="62" spans="1:4">
      <c r="A62" s="1"/>
      <c r="B62" s="1"/>
      <c r="C62" s="37"/>
      <c r="D62" s="1"/>
    </row>
    <row r="63" spans="1:4">
      <c r="A63" s="1"/>
      <c r="B63" s="1"/>
      <c r="C63" s="37"/>
      <c r="D63" s="1"/>
    </row>
    <row r="64" spans="1:4">
      <c r="A64" s="1"/>
      <c r="B64" s="1"/>
      <c r="C64" s="37"/>
      <c r="D64" s="1"/>
    </row>
    <row r="65" spans="1:3">
      <c r="A65" s="1"/>
      <c r="B65" s="1"/>
      <c r="C65" s="1"/>
    </row>
    <row r="66" spans="1:3">
      <c r="A66" s="1"/>
      <c r="B66" s="1"/>
      <c r="C66" s="1"/>
    </row>
    <row r="67" spans="1:3">
      <c r="A67" s="1"/>
      <c r="B67" s="1"/>
      <c r="C67" s="1"/>
    </row>
    <row r="68" spans="1:3">
      <c r="A68" s="1"/>
      <c r="B68" s="1"/>
      <c r="C68" s="1"/>
    </row>
    <row r="69" spans="1:3">
      <c r="A69" s="1"/>
      <c r="B69" s="1"/>
      <c r="C69" s="1"/>
    </row>
  </sheetData>
  <mergeCells count="17">
    <mergeCell ref="A1:B1"/>
    <mergeCell ref="E1:H1"/>
    <mergeCell ref="A2:D2"/>
    <mergeCell ref="E2:H2"/>
    <mergeCell ref="A3:A5"/>
    <mergeCell ref="B3:B5"/>
    <mergeCell ref="C3:D4"/>
    <mergeCell ref="E3:J3"/>
    <mergeCell ref="A22:L22"/>
    <mergeCell ref="A25:L25"/>
    <mergeCell ref="A29:L29"/>
    <mergeCell ref="K3:L4"/>
    <mergeCell ref="E4:F4"/>
    <mergeCell ref="G4:H4"/>
    <mergeCell ref="I4:J4"/>
    <mergeCell ref="A6:L6"/>
    <mergeCell ref="A12:L12"/>
  </mergeCells>
  <pageMargins left="0.32291666666666669" right="0.7" top="0.29166666666666669" bottom="0.44791666666666669" header="0.3" footer="0.3"/>
  <pageSetup paperSize="9" orientation="landscape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71"/>
  <sheetViews>
    <sheetView topLeftCell="A7" zoomScaleNormal="100" workbookViewId="0">
      <selection activeCell="A10" sqref="A10:L10"/>
    </sheetView>
  </sheetViews>
  <sheetFormatPr defaultRowHeight="15"/>
  <cols>
    <col min="1" max="1" width="10.5703125" style="73" customWidth="1"/>
    <col min="2" max="2" width="37" style="73" customWidth="1"/>
    <col min="3" max="3" width="7.28515625" style="73" customWidth="1"/>
    <col min="4" max="4" width="9" style="73" customWidth="1"/>
    <col min="5" max="5" width="6.7109375" style="73" customWidth="1"/>
    <col min="6" max="6" width="6.85546875" style="73" customWidth="1"/>
    <col min="7" max="7" width="6.42578125" style="73" customWidth="1"/>
    <col min="8" max="8" width="6.5703125" style="73" customWidth="1"/>
    <col min="9" max="9" width="7.5703125" style="73" customWidth="1"/>
    <col min="10" max="10" width="7.42578125" style="73" customWidth="1"/>
    <col min="11" max="11" width="9.7109375" style="73" customWidth="1"/>
    <col min="12" max="12" width="9.42578125" style="73" customWidth="1"/>
    <col min="13" max="13" width="9" style="73" customWidth="1"/>
    <col min="14" max="14" width="7.28515625" style="73" customWidth="1"/>
    <col min="15" max="18" width="9.140625" style="73"/>
    <col min="19" max="19" width="19.7109375" style="73" customWidth="1"/>
    <col min="20" max="20" width="7.7109375" style="73" customWidth="1"/>
    <col min="21" max="21" width="9.140625" style="73"/>
    <col min="22" max="22" width="7.7109375" style="73" customWidth="1"/>
    <col min="23" max="16384" width="9.140625" style="73"/>
  </cols>
  <sheetData>
    <row r="1" spans="1:24" ht="15.75">
      <c r="A1" s="107" t="s">
        <v>122</v>
      </c>
      <c r="B1" s="107"/>
      <c r="C1" s="60"/>
      <c r="D1" s="60"/>
      <c r="E1" s="108" t="s">
        <v>237</v>
      </c>
      <c r="F1" s="108"/>
      <c r="G1" s="108"/>
      <c r="H1" s="108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5.75">
      <c r="A2" s="109" t="s">
        <v>123</v>
      </c>
      <c r="B2" s="109"/>
      <c r="C2" s="109"/>
      <c r="D2" s="109"/>
      <c r="E2" s="109" t="s">
        <v>171</v>
      </c>
      <c r="F2" s="109"/>
      <c r="G2" s="109"/>
      <c r="H2" s="109"/>
      <c r="I2" s="61"/>
      <c r="J2" s="61"/>
      <c r="K2" s="61"/>
      <c r="L2" s="61"/>
      <c r="M2" s="36"/>
      <c r="N2" s="36"/>
      <c r="O2" s="1"/>
      <c r="P2" s="1"/>
      <c r="Q2" s="1"/>
      <c r="R2" s="1"/>
      <c r="S2" s="36"/>
      <c r="T2" s="36"/>
      <c r="U2" s="1"/>
      <c r="V2" s="1"/>
      <c r="W2" s="1"/>
      <c r="X2" s="1"/>
    </row>
    <row r="3" spans="1:24" ht="15" customHeight="1">
      <c r="A3" s="110" t="s">
        <v>0</v>
      </c>
      <c r="B3" s="113" t="s">
        <v>1</v>
      </c>
      <c r="C3" s="116" t="s">
        <v>8</v>
      </c>
      <c r="D3" s="117"/>
      <c r="E3" s="103" t="s">
        <v>9</v>
      </c>
      <c r="F3" s="103"/>
      <c r="G3" s="103"/>
      <c r="H3" s="103"/>
      <c r="I3" s="103"/>
      <c r="J3" s="103"/>
      <c r="K3" s="102" t="s">
        <v>7</v>
      </c>
      <c r="L3" s="102"/>
      <c r="M3" s="1"/>
      <c r="N3" s="37"/>
      <c r="O3" s="40"/>
      <c r="P3" s="40"/>
      <c r="Q3" s="40"/>
      <c r="R3" s="40"/>
      <c r="S3" s="1"/>
      <c r="T3" s="37"/>
      <c r="U3" s="40"/>
      <c r="V3" s="40"/>
      <c r="W3" s="40"/>
      <c r="X3" s="40"/>
    </row>
    <row r="4" spans="1:24">
      <c r="A4" s="111"/>
      <c r="B4" s="114"/>
      <c r="C4" s="116"/>
      <c r="D4" s="117"/>
      <c r="E4" s="103" t="s">
        <v>5</v>
      </c>
      <c r="F4" s="103"/>
      <c r="G4" s="102" t="s">
        <v>4</v>
      </c>
      <c r="H4" s="102"/>
      <c r="I4" s="103" t="s">
        <v>6</v>
      </c>
      <c r="J4" s="103"/>
      <c r="K4" s="102"/>
      <c r="L4" s="102"/>
      <c r="M4" s="1"/>
      <c r="N4" s="37"/>
      <c r="O4" s="40"/>
      <c r="P4" s="40"/>
      <c r="Q4" s="40"/>
      <c r="R4" s="40"/>
      <c r="S4" s="1"/>
      <c r="T4" s="37"/>
      <c r="U4" s="40"/>
      <c r="V4" s="40"/>
      <c r="W4" s="40"/>
      <c r="X4" s="40"/>
    </row>
    <row r="5" spans="1:24" ht="63">
      <c r="A5" s="112"/>
      <c r="B5" s="115"/>
      <c r="C5" s="75" t="s">
        <v>128</v>
      </c>
      <c r="D5" s="76" t="s">
        <v>127</v>
      </c>
      <c r="E5" s="75" t="s">
        <v>128</v>
      </c>
      <c r="F5" s="76" t="s">
        <v>127</v>
      </c>
      <c r="G5" s="75" t="s">
        <v>128</v>
      </c>
      <c r="H5" s="76" t="s">
        <v>127</v>
      </c>
      <c r="I5" s="75" t="s">
        <v>128</v>
      </c>
      <c r="J5" s="76" t="s">
        <v>127</v>
      </c>
      <c r="K5" s="75" t="s">
        <v>128</v>
      </c>
      <c r="L5" s="77" t="s">
        <v>127</v>
      </c>
      <c r="M5" s="1"/>
      <c r="N5" s="37"/>
      <c r="O5" s="40"/>
      <c r="P5" s="40"/>
      <c r="Q5" s="40"/>
      <c r="R5" s="40"/>
      <c r="S5" s="1"/>
      <c r="T5" s="37"/>
      <c r="U5" s="40"/>
      <c r="V5" s="40"/>
      <c r="W5" s="40"/>
      <c r="X5" s="40"/>
    </row>
    <row r="6" spans="1:24">
      <c r="A6" s="99" t="s">
        <v>10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1"/>
      <c r="M6" s="1"/>
      <c r="N6" s="37"/>
      <c r="O6" s="40"/>
      <c r="P6" s="40"/>
      <c r="Q6" s="40"/>
      <c r="R6" s="40"/>
      <c r="S6" s="1"/>
      <c r="T6" s="37"/>
      <c r="U6" s="40"/>
      <c r="V6" s="40"/>
      <c r="W6" s="40"/>
      <c r="X6" s="40"/>
    </row>
    <row r="7" spans="1:24">
      <c r="A7" s="47" t="s">
        <v>230</v>
      </c>
      <c r="B7" s="2" t="s">
        <v>231</v>
      </c>
      <c r="C7" s="15">
        <v>160</v>
      </c>
      <c r="D7" s="20">
        <v>200</v>
      </c>
      <c r="E7" s="13">
        <f>C7*3.4/100</f>
        <v>5.44</v>
      </c>
      <c r="F7" s="17">
        <f>D7*3.4/100</f>
        <v>6.8</v>
      </c>
      <c r="G7" s="13">
        <f>C7*4.1/100</f>
        <v>6.56</v>
      </c>
      <c r="H7" s="17">
        <f>D7*4.1/100</f>
        <v>8.1999999999999993</v>
      </c>
      <c r="I7" s="13">
        <f>C7*20.6/100</f>
        <v>32.96</v>
      </c>
      <c r="J7" s="17">
        <f>D7*20.6/100</f>
        <v>41.2</v>
      </c>
      <c r="K7" s="15">
        <f t="shared" ref="K7:L11" si="0">E7*4+G7*9+I7*4</f>
        <v>212.64</v>
      </c>
      <c r="L7" s="17">
        <f t="shared" si="0"/>
        <v>265.8</v>
      </c>
      <c r="M7" s="1"/>
      <c r="N7" s="37"/>
      <c r="O7" s="40"/>
      <c r="P7" s="40"/>
      <c r="Q7" s="40"/>
      <c r="R7" s="40"/>
      <c r="S7" s="1"/>
      <c r="T7" s="37"/>
      <c r="U7" s="40"/>
      <c r="V7" s="40"/>
      <c r="W7" s="40"/>
      <c r="X7" s="40"/>
    </row>
    <row r="8" spans="1:24">
      <c r="A8" s="65"/>
      <c r="B8" s="2" t="s">
        <v>2</v>
      </c>
      <c r="C8" s="14">
        <v>30</v>
      </c>
      <c r="D8" s="21">
        <v>40</v>
      </c>
      <c r="E8" s="14">
        <f>C8*7.5/100</f>
        <v>2.25</v>
      </c>
      <c r="F8" s="27">
        <f>D8*7.5/100</f>
        <v>3</v>
      </c>
      <c r="G8" s="13">
        <f>C8*2.9/100</f>
        <v>0.87</v>
      </c>
      <c r="H8" s="18">
        <f>D8*2.9/100</f>
        <v>1.1599999999999999</v>
      </c>
      <c r="I8" s="15">
        <f>C8*51.4/100</f>
        <v>15.42</v>
      </c>
      <c r="J8" s="18">
        <f>D8*51.4/100</f>
        <v>20.56</v>
      </c>
      <c r="K8" s="15">
        <f t="shared" si="0"/>
        <v>78.509999999999991</v>
      </c>
      <c r="L8" s="18">
        <f t="shared" si="0"/>
        <v>104.67999999999999</v>
      </c>
      <c r="M8" s="1"/>
      <c r="N8" s="37"/>
      <c r="O8" s="40"/>
      <c r="P8" s="40"/>
      <c r="Q8" s="40"/>
      <c r="R8" s="40"/>
      <c r="S8" s="1"/>
      <c r="T8" s="37"/>
      <c r="U8" s="40"/>
      <c r="V8" s="40"/>
      <c r="W8" s="40"/>
      <c r="X8" s="40"/>
    </row>
    <row r="9" spans="1:24">
      <c r="A9" s="81" t="s">
        <v>177</v>
      </c>
      <c r="B9" s="4" t="s">
        <v>176</v>
      </c>
      <c r="C9" s="15">
        <v>10</v>
      </c>
      <c r="D9" s="22">
        <v>10</v>
      </c>
      <c r="E9" s="15">
        <f>C9*0.08/10</f>
        <v>0.08</v>
      </c>
      <c r="F9" s="18">
        <f>D9*0.08/10</f>
        <v>0.08</v>
      </c>
      <c r="G9" s="13">
        <f>C9*7.25/10</f>
        <v>7.25</v>
      </c>
      <c r="H9" s="17">
        <f>D9*7.25/10</f>
        <v>7.25</v>
      </c>
      <c r="I9" s="13">
        <f>C9*0.13/10</f>
        <v>0.13</v>
      </c>
      <c r="J9" s="17">
        <f>D9*0.13/10</f>
        <v>0.13</v>
      </c>
      <c r="K9" s="13">
        <f t="shared" si="0"/>
        <v>66.089999999999989</v>
      </c>
      <c r="L9" s="17">
        <f t="shared" si="0"/>
        <v>66.089999999999989</v>
      </c>
      <c r="M9" s="1"/>
      <c r="N9" s="37"/>
      <c r="O9" s="40"/>
      <c r="P9" s="40"/>
      <c r="Q9" s="40"/>
      <c r="R9" s="40"/>
      <c r="S9" s="1"/>
      <c r="T9" s="37"/>
      <c r="U9" s="40"/>
      <c r="V9" s="40"/>
      <c r="W9" s="40"/>
      <c r="X9" s="40"/>
    </row>
    <row r="10" spans="1:24">
      <c r="A10" s="65" t="s">
        <v>129</v>
      </c>
      <c r="B10" s="5" t="s">
        <v>15</v>
      </c>
      <c r="C10" s="15">
        <v>200</v>
      </c>
      <c r="D10" s="18">
        <v>200</v>
      </c>
      <c r="E10" s="13">
        <f>C10*0.3/200</f>
        <v>0.3</v>
      </c>
      <c r="F10" s="17">
        <f>D10*0.3/200</f>
        <v>0.3</v>
      </c>
      <c r="G10" s="24">
        <f>C10*0/200</f>
        <v>0</v>
      </c>
      <c r="H10" s="17">
        <f>D10*0/200</f>
        <v>0</v>
      </c>
      <c r="I10" s="13">
        <f>C10*15.2/200</f>
        <v>15.2</v>
      </c>
      <c r="J10" s="17">
        <f>D10*15.2/200</f>
        <v>15.2</v>
      </c>
      <c r="K10" s="13">
        <f t="shared" si="0"/>
        <v>62</v>
      </c>
      <c r="L10" s="17">
        <f t="shared" si="0"/>
        <v>62</v>
      </c>
      <c r="M10" s="1"/>
      <c r="N10" s="37"/>
      <c r="O10" s="40"/>
      <c r="P10" s="40"/>
      <c r="Q10" s="40"/>
      <c r="R10" s="40"/>
      <c r="S10" s="1"/>
      <c r="T10" s="37"/>
      <c r="U10" s="40"/>
      <c r="V10" s="40"/>
      <c r="W10" s="40"/>
      <c r="X10" s="40"/>
    </row>
    <row r="11" spans="1:24">
      <c r="A11" s="64"/>
      <c r="B11" s="7" t="s">
        <v>19</v>
      </c>
      <c r="C11" s="62">
        <f t="shared" ref="C11:J11" si="1">SUM(C7:C10)</f>
        <v>400</v>
      </c>
      <c r="D11" s="23">
        <f t="shared" si="1"/>
        <v>450</v>
      </c>
      <c r="E11" s="10">
        <f t="shared" si="1"/>
        <v>8.07</v>
      </c>
      <c r="F11" s="16">
        <f t="shared" si="1"/>
        <v>10.180000000000001</v>
      </c>
      <c r="G11" s="10">
        <f t="shared" si="1"/>
        <v>14.68</v>
      </c>
      <c r="H11" s="16">
        <f t="shared" si="1"/>
        <v>16.61</v>
      </c>
      <c r="I11" s="10">
        <f t="shared" si="1"/>
        <v>63.710000000000008</v>
      </c>
      <c r="J11" s="16">
        <f t="shared" si="1"/>
        <v>77.09</v>
      </c>
      <c r="K11" s="10">
        <f t="shared" si="0"/>
        <v>419.24</v>
      </c>
      <c r="L11" s="16">
        <f t="shared" si="0"/>
        <v>498.57000000000005</v>
      </c>
      <c r="M11" s="1"/>
      <c r="N11" s="37"/>
      <c r="O11" s="40"/>
      <c r="P11" s="40"/>
      <c r="Q11" s="40"/>
      <c r="R11" s="40"/>
      <c r="S11" s="1"/>
      <c r="T11" s="37"/>
      <c r="U11" s="40"/>
      <c r="V11" s="40"/>
      <c r="W11" s="40"/>
      <c r="X11" s="40"/>
    </row>
    <row r="12" spans="1:24">
      <c r="A12" s="104" t="s">
        <v>11</v>
      </c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06"/>
      <c r="M12" s="1"/>
      <c r="N12" s="37"/>
      <c r="O12" s="40"/>
      <c r="P12" s="40"/>
      <c r="Q12" s="40"/>
      <c r="R12" s="40"/>
      <c r="S12" s="1"/>
      <c r="T12" s="37"/>
      <c r="U12" s="40"/>
      <c r="V12" s="40"/>
      <c r="W12" s="40"/>
      <c r="X12" s="40"/>
    </row>
    <row r="13" spans="1:24">
      <c r="A13" s="65" t="s">
        <v>131</v>
      </c>
      <c r="B13" s="5" t="s">
        <v>12</v>
      </c>
      <c r="C13" s="15">
        <v>60</v>
      </c>
      <c r="D13" s="25">
        <v>100</v>
      </c>
      <c r="E13" s="13">
        <f>C13*4.51/100</f>
        <v>2.7059999999999995</v>
      </c>
      <c r="F13" s="17">
        <f>D13*4.51/100</f>
        <v>4.51</v>
      </c>
      <c r="G13" s="13">
        <f>C13*7.86/100</f>
        <v>4.7160000000000002</v>
      </c>
      <c r="H13" s="17">
        <f>D13*7.86/100</f>
        <v>7.86</v>
      </c>
      <c r="I13" s="15">
        <f>C13*7.25/100</f>
        <v>4.3499999999999996</v>
      </c>
      <c r="J13" s="17">
        <f>D13*7.25/100</f>
        <v>7.25</v>
      </c>
      <c r="K13" s="13">
        <f t="shared" ref="K13:L22" si="2">E13*4+G13*9+I13*4</f>
        <v>70.668000000000006</v>
      </c>
      <c r="L13" s="17">
        <f t="shared" si="2"/>
        <v>117.78</v>
      </c>
      <c r="M13" s="1"/>
      <c r="N13" s="37"/>
      <c r="O13" s="40"/>
      <c r="P13" s="40"/>
      <c r="Q13" s="40"/>
      <c r="R13" s="40"/>
      <c r="S13" s="1"/>
      <c r="T13" s="37"/>
      <c r="U13" s="40"/>
      <c r="V13" s="40"/>
      <c r="W13" s="40"/>
      <c r="X13" s="40"/>
    </row>
    <row r="14" spans="1:24">
      <c r="A14" s="47" t="s">
        <v>232</v>
      </c>
      <c r="B14" s="74" t="s">
        <v>22</v>
      </c>
      <c r="C14" s="14">
        <v>200</v>
      </c>
      <c r="D14" s="54">
        <v>250</v>
      </c>
      <c r="E14" s="83">
        <f>C14*2/250</f>
        <v>1.6</v>
      </c>
      <c r="F14" s="84">
        <f>D14*2/250</f>
        <v>2</v>
      </c>
      <c r="G14" s="83">
        <f>C14*4.3/250</f>
        <v>3.44</v>
      </c>
      <c r="H14" s="84">
        <f>D14*4.3/250</f>
        <v>4.3</v>
      </c>
      <c r="I14" s="83">
        <f>C14*10/250</f>
        <v>8</v>
      </c>
      <c r="J14" s="84">
        <f>D14*10/250</f>
        <v>10</v>
      </c>
      <c r="K14" s="83">
        <f t="shared" si="2"/>
        <v>69.36</v>
      </c>
      <c r="L14" s="84">
        <f t="shared" si="2"/>
        <v>86.699999999999989</v>
      </c>
      <c r="M14" s="1"/>
      <c r="N14" s="37"/>
      <c r="O14" s="40"/>
      <c r="P14" s="40"/>
      <c r="Q14" s="40"/>
      <c r="R14" s="40"/>
      <c r="S14" s="1"/>
      <c r="T14" s="37"/>
      <c r="U14" s="40"/>
      <c r="V14" s="40"/>
      <c r="W14" s="40"/>
      <c r="X14" s="40"/>
    </row>
    <row r="15" spans="1:24">
      <c r="A15" s="47"/>
      <c r="B15" s="5" t="s">
        <v>161</v>
      </c>
      <c r="C15" s="15">
        <v>10</v>
      </c>
      <c r="D15" s="18">
        <v>10</v>
      </c>
      <c r="E15" s="15">
        <f>C15*2.6/100</f>
        <v>0.26</v>
      </c>
      <c r="F15" s="18">
        <f>D15*2.6/100</f>
        <v>0.26</v>
      </c>
      <c r="G15" s="13">
        <f>C15*15/100</f>
        <v>1.5</v>
      </c>
      <c r="H15" s="17">
        <f>D15*15/100</f>
        <v>1.5</v>
      </c>
      <c r="I15" s="15">
        <f>C15*3.6/100</f>
        <v>0.36</v>
      </c>
      <c r="J15" s="18">
        <f>D15*3.6/100</f>
        <v>0.36</v>
      </c>
      <c r="K15" s="13">
        <f t="shared" si="2"/>
        <v>15.979999999999999</v>
      </c>
      <c r="L15" s="17">
        <f t="shared" si="2"/>
        <v>15.979999999999999</v>
      </c>
      <c r="M15" s="32"/>
      <c r="N15" s="32"/>
      <c r="O15" s="40"/>
      <c r="P15" s="40"/>
      <c r="Q15" s="40"/>
      <c r="R15" s="40"/>
      <c r="S15" s="1"/>
      <c r="T15" s="37"/>
      <c r="U15" s="40"/>
      <c r="V15" s="40"/>
      <c r="W15" s="40"/>
      <c r="X15" s="40"/>
    </row>
    <row r="16" spans="1:24">
      <c r="A16" s="47" t="s">
        <v>234</v>
      </c>
      <c r="B16" s="86" t="s">
        <v>233</v>
      </c>
      <c r="C16" s="15">
        <v>150</v>
      </c>
      <c r="D16" s="18">
        <v>200</v>
      </c>
      <c r="E16" s="13">
        <f>C16*2.74/100</f>
        <v>4.1100000000000003</v>
      </c>
      <c r="F16" s="17">
        <f>D16*2.74/100</f>
        <v>5.48</v>
      </c>
      <c r="G16" s="13">
        <f>C16*2.86/100</f>
        <v>4.29</v>
      </c>
      <c r="H16" s="17">
        <f>D16*2.86/100</f>
        <v>5.72</v>
      </c>
      <c r="I16" s="13">
        <f>C16*16.8/100</f>
        <v>25.2</v>
      </c>
      <c r="J16" s="17">
        <f>D16*16.8/100</f>
        <v>33.6</v>
      </c>
      <c r="K16" s="13">
        <f t="shared" si="2"/>
        <v>155.85</v>
      </c>
      <c r="L16" s="17">
        <f t="shared" si="2"/>
        <v>207.8</v>
      </c>
      <c r="M16" s="1"/>
      <c r="N16" s="37"/>
      <c r="O16" s="40"/>
      <c r="P16" s="40"/>
      <c r="Q16" s="40"/>
      <c r="R16" s="40"/>
      <c r="S16" s="1"/>
      <c r="T16" s="37"/>
      <c r="U16" s="40"/>
      <c r="V16" s="40"/>
      <c r="W16" s="40"/>
      <c r="X16" s="40"/>
    </row>
    <row r="17" spans="1:24">
      <c r="A17" s="47" t="s">
        <v>236</v>
      </c>
      <c r="B17" s="86" t="s">
        <v>235</v>
      </c>
      <c r="C17" s="15">
        <v>90</v>
      </c>
      <c r="D17" s="18">
        <v>100</v>
      </c>
      <c r="E17" s="13">
        <f>C17*8.9/100</f>
        <v>8.01</v>
      </c>
      <c r="F17" s="17">
        <f>D17*8.9/100</f>
        <v>8.9</v>
      </c>
      <c r="G17" s="13">
        <f>C17*20.3/100</f>
        <v>18.27</v>
      </c>
      <c r="H17" s="17">
        <f>D17*20.3/100</f>
        <v>20.3</v>
      </c>
      <c r="I17" s="13">
        <f>C17*8.9/100</f>
        <v>8.01</v>
      </c>
      <c r="J17" s="17">
        <f>D17*8.9/100</f>
        <v>8.9</v>
      </c>
      <c r="K17" s="13">
        <f t="shared" si="2"/>
        <v>228.51</v>
      </c>
      <c r="L17" s="17">
        <f t="shared" si="2"/>
        <v>253.9</v>
      </c>
      <c r="M17" s="1"/>
      <c r="N17" s="37"/>
      <c r="O17" s="40"/>
      <c r="P17" s="40"/>
      <c r="Q17" s="40"/>
      <c r="R17" s="40"/>
      <c r="S17" s="1"/>
      <c r="T17" s="37"/>
      <c r="U17" s="40"/>
      <c r="V17" s="40"/>
      <c r="W17" s="40"/>
      <c r="X17" s="40"/>
    </row>
    <row r="18" spans="1:24">
      <c r="A18" s="47" t="s">
        <v>165</v>
      </c>
      <c r="B18" s="2" t="s">
        <v>24</v>
      </c>
      <c r="C18" s="15">
        <v>20</v>
      </c>
      <c r="D18" s="18">
        <v>30</v>
      </c>
      <c r="E18" s="13">
        <f>C18*1.3/50</f>
        <v>0.52</v>
      </c>
      <c r="F18" s="17">
        <f>D18*1.3/50</f>
        <v>0.78</v>
      </c>
      <c r="G18" s="13">
        <f>C18*4.8/50</f>
        <v>1.92</v>
      </c>
      <c r="H18" s="17">
        <f>D18*4.8/50</f>
        <v>2.88</v>
      </c>
      <c r="I18" s="13">
        <f>C18*4.7/50</f>
        <v>1.88</v>
      </c>
      <c r="J18" s="17">
        <f>D18*4.7/50</f>
        <v>2.82</v>
      </c>
      <c r="K18" s="13">
        <f t="shared" si="2"/>
        <v>26.88</v>
      </c>
      <c r="L18" s="17">
        <f t="shared" si="2"/>
        <v>40.32</v>
      </c>
      <c r="M18" s="1"/>
      <c r="N18" s="37"/>
      <c r="O18" s="40"/>
      <c r="P18" s="40"/>
      <c r="Q18" s="40"/>
      <c r="R18" s="40"/>
      <c r="S18" s="1"/>
      <c r="T18" s="37"/>
      <c r="U18" s="40"/>
      <c r="V18" s="40"/>
      <c r="W18" s="40"/>
      <c r="X18" s="40"/>
    </row>
    <row r="19" spans="1:24">
      <c r="A19" s="47" t="s">
        <v>136</v>
      </c>
      <c r="B19" s="2" t="s">
        <v>137</v>
      </c>
      <c r="C19" s="15">
        <v>200</v>
      </c>
      <c r="D19" s="18">
        <v>200</v>
      </c>
      <c r="E19" s="13">
        <f>C19*0.6/200</f>
        <v>0.6</v>
      </c>
      <c r="F19" s="17">
        <f>D19*0.6/200</f>
        <v>0.6</v>
      </c>
      <c r="G19" s="24">
        <f>C19*0/200</f>
        <v>0</v>
      </c>
      <c r="H19" s="19">
        <f>D19*0/100</f>
        <v>0</v>
      </c>
      <c r="I19" s="13">
        <f>C19*31.4/200</f>
        <v>31.4</v>
      </c>
      <c r="J19" s="17">
        <f>D19*31.4/200</f>
        <v>31.4</v>
      </c>
      <c r="K19" s="13">
        <f t="shared" si="2"/>
        <v>128</v>
      </c>
      <c r="L19" s="17">
        <f t="shared" si="2"/>
        <v>128</v>
      </c>
      <c r="M19" s="1"/>
      <c r="N19" s="37"/>
      <c r="O19" s="40"/>
      <c r="P19" s="40"/>
      <c r="Q19" s="40"/>
      <c r="R19" s="40"/>
      <c r="S19" s="1"/>
      <c r="T19" s="37"/>
      <c r="U19" s="40"/>
      <c r="V19" s="40"/>
      <c r="W19" s="40"/>
      <c r="X19" s="40"/>
    </row>
    <row r="20" spans="1:24">
      <c r="A20" s="65"/>
      <c r="B20" s="5" t="s">
        <v>217</v>
      </c>
      <c r="C20" s="15">
        <v>30</v>
      </c>
      <c r="D20" s="18">
        <v>40</v>
      </c>
      <c r="E20" s="13">
        <f>C20*6.6/100</f>
        <v>1.98</v>
      </c>
      <c r="F20" s="17">
        <f>D20*6.6/100</f>
        <v>2.64</v>
      </c>
      <c r="G20" s="13">
        <f>C20*1.1/100</f>
        <v>0.33</v>
      </c>
      <c r="H20" s="17">
        <f>D20*1.1/100</f>
        <v>0.44</v>
      </c>
      <c r="I20" s="13">
        <f>C20*43.9/100</f>
        <v>13.17</v>
      </c>
      <c r="J20" s="17">
        <f>D20*43.9/100</f>
        <v>17.559999999999999</v>
      </c>
      <c r="K20" s="13">
        <f t="shared" si="2"/>
        <v>63.57</v>
      </c>
      <c r="L20" s="17">
        <f t="shared" si="2"/>
        <v>84.759999999999991</v>
      </c>
      <c r="M20" s="1"/>
      <c r="N20" s="37"/>
      <c r="O20" s="40"/>
      <c r="P20" s="40"/>
      <c r="Q20" s="40"/>
      <c r="R20" s="40"/>
      <c r="S20" s="1"/>
      <c r="T20" s="37"/>
      <c r="U20" s="40"/>
      <c r="V20" s="40"/>
      <c r="W20" s="40"/>
      <c r="X20" s="40"/>
    </row>
    <row r="21" spans="1:24">
      <c r="A21" s="65"/>
      <c r="B21" s="5" t="s">
        <v>216</v>
      </c>
      <c r="C21" s="15">
        <v>30</v>
      </c>
      <c r="D21" s="18">
        <v>40</v>
      </c>
      <c r="E21" s="13">
        <f>C21*7.7/100</f>
        <v>2.31</v>
      </c>
      <c r="F21" s="17">
        <f>D21*7.7/100</f>
        <v>3.08</v>
      </c>
      <c r="G21" s="13">
        <f>C21*0.8/100</f>
        <v>0.24</v>
      </c>
      <c r="H21" s="17">
        <f>D21*0.8/100</f>
        <v>0.32</v>
      </c>
      <c r="I21" s="13">
        <f>C21*49.5/100</f>
        <v>14.85</v>
      </c>
      <c r="J21" s="17">
        <f>D21*49.5/100</f>
        <v>19.8</v>
      </c>
      <c r="K21" s="13">
        <f t="shared" si="2"/>
        <v>70.8</v>
      </c>
      <c r="L21" s="17">
        <f t="shared" si="2"/>
        <v>94.4</v>
      </c>
      <c r="M21" s="1"/>
      <c r="N21" s="37"/>
      <c r="O21" s="40"/>
      <c r="P21" s="40"/>
      <c r="Q21" s="40"/>
      <c r="R21" s="40"/>
      <c r="S21" s="1"/>
      <c r="T21" s="37"/>
      <c r="U21" s="40"/>
      <c r="V21" s="40"/>
      <c r="W21" s="40"/>
      <c r="X21" s="40"/>
    </row>
    <row r="22" spans="1:24">
      <c r="A22" s="65"/>
      <c r="B22" s="5" t="s">
        <v>248</v>
      </c>
      <c r="C22" s="15">
        <v>100</v>
      </c>
      <c r="D22" s="18">
        <v>100</v>
      </c>
      <c r="E22" s="13">
        <v>0.4</v>
      </c>
      <c r="F22" s="17">
        <v>0.4</v>
      </c>
      <c r="G22" s="13">
        <v>0.4</v>
      </c>
      <c r="H22" s="17">
        <v>0.4</v>
      </c>
      <c r="I22" s="13">
        <v>9.8000000000000007</v>
      </c>
      <c r="J22" s="17">
        <v>9.8000000000000007</v>
      </c>
      <c r="K22" s="13">
        <f t="shared" si="2"/>
        <v>44.400000000000006</v>
      </c>
      <c r="L22" s="17">
        <f t="shared" si="2"/>
        <v>44.400000000000006</v>
      </c>
      <c r="M22" s="1"/>
      <c r="N22" s="37"/>
      <c r="O22" s="40"/>
      <c r="P22" s="40"/>
      <c r="Q22" s="40"/>
      <c r="R22" s="40"/>
      <c r="S22" s="1"/>
      <c r="T22" s="37"/>
      <c r="U22" s="40"/>
      <c r="V22" s="40"/>
      <c r="W22" s="40"/>
      <c r="X22" s="40"/>
    </row>
    <row r="23" spans="1:24">
      <c r="A23" s="65"/>
      <c r="B23" s="7" t="s">
        <v>20</v>
      </c>
      <c r="C23" s="62">
        <f t="shared" ref="C23:L23" si="3">SUM(C13:C22)</f>
        <v>890</v>
      </c>
      <c r="D23" s="28">
        <f t="shared" si="3"/>
        <v>1070</v>
      </c>
      <c r="E23" s="10">
        <f t="shared" si="3"/>
        <v>22.495999999999999</v>
      </c>
      <c r="F23" s="16">
        <f t="shared" si="3"/>
        <v>28.65</v>
      </c>
      <c r="G23" s="62">
        <f t="shared" si="3"/>
        <v>35.106000000000002</v>
      </c>
      <c r="H23" s="16">
        <f t="shared" si="3"/>
        <v>43.72</v>
      </c>
      <c r="I23" s="62">
        <f t="shared" si="3"/>
        <v>117.01999999999998</v>
      </c>
      <c r="J23" s="16">
        <f t="shared" si="3"/>
        <v>141.49</v>
      </c>
      <c r="K23" s="10">
        <f t="shared" si="3"/>
        <v>874.01799999999992</v>
      </c>
      <c r="L23" s="16">
        <f t="shared" si="3"/>
        <v>1074.0400000000002</v>
      </c>
      <c r="M23" s="1"/>
      <c r="N23" s="37"/>
      <c r="O23" s="40"/>
      <c r="P23" s="40"/>
      <c r="Q23" s="40"/>
      <c r="R23" s="40"/>
      <c r="S23" s="1"/>
      <c r="T23" s="37"/>
      <c r="U23" s="40"/>
      <c r="V23" s="40"/>
      <c r="W23" s="40"/>
      <c r="X23" s="40"/>
    </row>
    <row r="24" spans="1:24">
      <c r="A24" s="99"/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1"/>
      <c r="M24" s="1"/>
      <c r="N24" s="37"/>
      <c r="O24" s="40"/>
      <c r="P24" s="40"/>
      <c r="Q24" s="40"/>
      <c r="R24" s="40"/>
      <c r="S24" s="1"/>
      <c r="T24" s="37"/>
      <c r="U24" s="40"/>
      <c r="V24" s="40"/>
      <c r="W24" s="40"/>
      <c r="X24" s="40"/>
    </row>
    <row r="25" spans="1:24">
      <c r="A25" s="29"/>
      <c r="B25" s="30" t="s">
        <v>16</v>
      </c>
      <c r="C25" s="31"/>
      <c r="D25" s="31"/>
      <c r="E25" s="33">
        <f t="shared" ref="E25:L25" si="4">E11+E23</f>
        <v>30.565999999999999</v>
      </c>
      <c r="F25" s="34">
        <f t="shared" si="4"/>
        <v>38.83</v>
      </c>
      <c r="G25" s="33">
        <f t="shared" si="4"/>
        <v>49.786000000000001</v>
      </c>
      <c r="H25" s="34">
        <f t="shared" si="4"/>
        <v>60.33</v>
      </c>
      <c r="I25" s="33">
        <f t="shared" si="4"/>
        <v>180.73</v>
      </c>
      <c r="J25" s="34">
        <f t="shared" si="4"/>
        <v>218.58</v>
      </c>
      <c r="K25" s="33">
        <f t="shared" si="4"/>
        <v>1293.2579999999998</v>
      </c>
      <c r="L25" s="34">
        <f t="shared" si="4"/>
        <v>1572.6100000000001</v>
      </c>
      <c r="M25" s="1"/>
      <c r="N25" s="37"/>
      <c r="O25" s="40"/>
      <c r="P25" s="40"/>
      <c r="Q25" s="40"/>
      <c r="R25" s="40"/>
      <c r="S25" s="1"/>
      <c r="T25" s="37"/>
      <c r="U25" s="40"/>
      <c r="V25" s="40"/>
      <c r="W25" s="40"/>
      <c r="X25" s="40"/>
    </row>
    <row r="26" spans="1:24">
      <c r="A26" s="65"/>
      <c r="B26" s="39" t="s">
        <v>30</v>
      </c>
      <c r="C26" s="38"/>
      <c r="D26" s="38"/>
      <c r="E26" s="79">
        <v>46.2</v>
      </c>
      <c r="F26" s="80">
        <v>54</v>
      </c>
      <c r="G26" s="79">
        <v>47.4</v>
      </c>
      <c r="H26" s="79">
        <v>55.2</v>
      </c>
      <c r="I26" s="80">
        <v>201</v>
      </c>
      <c r="J26" s="79">
        <v>229.8</v>
      </c>
      <c r="K26" s="80">
        <v>1410</v>
      </c>
      <c r="L26" s="80">
        <v>1632</v>
      </c>
      <c r="M26" s="1"/>
      <c r="N26" s="37"/>
      <c r="O26" s="40"/>
      <c r="P26" s="40"/>
      <c r="Q26" s="40"/>
      <c r="R26" s="40"/>
      <c r="S26" s="1"/>
      <c r="T26" s="37"/>
      <c r="U26" s="40"/>
      <c r="V26" s="40"/>
      <c r="W26" s="40"/>
      <c r="X26" s="40"/>
    </row>
    <row r="27" spans="1:24">
      <c r="A27" s="99" t="s">
        <v>35</v>
      </c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1"/>
      <c r="M27" s="1"/>
      <c r="N27" s="37"/>
      <c r="O27" s="40"/>
      <c r="P27" s="40"/>
      <c r="Q27" s="40"/>
      <c r="R27" s="40"/>
      <c r="S27" s="1"/>
      <c r="T27" s="37"/>
      <c r="U27" s="40"/>
      <c r="V27" s="40"/>
      <c r="W27" s="40"/>
      <c r="X27" s="40"/>
    </row>
    <row r="28" spans="1:24">
      <c r="A28" s="47" t="s">
        <v>202</v>
      </c>
      <c r="B28" s="2" t="s">
        <v>238</v>
      </c>
      <c r="C28" s="15">
        <v>75</v>
      </c>
      <c r="D28" s="18">
        <v>75</v>
      </c>
      <c r="E28" s="13">
        <f>C28*3.9/60</f>
        <v>4.875</v>
      </c>
      <c r="F28" s="17">
        <f>D28*3.9/60</f>
        <v>4.875</v>
      </c>
      <c r="G28" s="13">
        <f>C28*3.71/60</f>
        <v>4.6375000000000002</v>
      </c>
      <c r="H28" s="17">
        <f>D28*3.71/60</f>
        <v>4.6375000000000002</v>
      </c>
      <c r="I28" s="13">
        <f>C28*20.76/60</f>
        <v>25.950000000000003</v>
      </c>
      <c r="J28" s="17">
        <f>D28*20.76/60</f>
        <v>25.950000000000003</v>
      </c>
      <c r="K28" s="13">
        <f t="shared" ref="K28:L28" si="5">E28*4+G28*9+I28*4</f>
        <v>165.03750000000002</v>
      </c>
      <c r="L28" s="17">
        <f t="shared" si="5"/>
        <v>165.03750000000002</v>
      </c>
      <c r="M28" s="1"/>
      <c r="N28" s="37"/>
      <c r="O28" s="40"/>
      <c r="P28" s="40"/>
      <c r="Q28" s="40"/>
      <c r="R28" s="40"/>
      <c r="S28" s="1"/>
      <c r="T28" s="37"/>
      <c r="U28" s="40"/>
      <c r="V28" s="40"/>
      <c r="W28" s="40"/>
      <c r="X28" s="40"/>
    </row>
    <row r="29" spans="1:24">
      <c r="A29" s="47" t="s">
        <v>140</v>
      </c>
      <c r="B29" s="2" t="s">
        <v>141</v>
      </c>
      <c r="C29" s="15">
        <v>200</v>
      </c>
      <c r="D29" s="18">
        <v>200</v>
      </c>
      <c r="E29" s="13">
        <f>C29*0.06/180</f>
        <v>6.6666666666666666E-2</v>
      </c>
      <c r="F29" s="17">
        <f>D29*0.06/180</f>
        <v>6.6666666666666666E-2</v>
      </c>
      <c r="G29" s="13">
        <f>C29*0/50</f>
        <v>0</v>
      </c>
      <c r="H29" s="17">
        <f>D29*0/50</f>
        <v>0</v>
      </c>
      <c r="I29" s="13">
        <f>C29*9.99/180</f>
        <v>11.1</v>
      </c>
      <c r="J29" s="17">
        <f>D29*9.99/180</f>
        <v>11.1</v>
      </c>
      <c r="K29" s="13">
        <f t="shared" ref="K29:L29" si="6">E29*4+G29*9+I29*4</f>
        <v>44.666666666666664</v>
      </c>
      <c r="L29" s="17">
        <f t="shared" si="6"/>
        <v>44.666666666666664</v>
      </c>
      <c r="M29" s="1"/>
      <c r="N29" s="37"/>
      <c r="O29" s="40"/>
      <c r="P29" s="40"/>
      <c r="Q29" s="40"/>
      <c r="R29" s="40"/>
      <c r="S29" s="1"/>
      <c r="T29" s="37"/>
      <c r="U29" s="40"/>
      <c r="V29" s="40"/>
      <c r="W29" s="40"/>
      <c r="X29" s="40"/>
    </row>
    <row r="30" spans="1:24">
      <c r="A30" s="65"/>
      <c r="B30" s="7" t="s">
        <v>18</v>
      </c>
      <c r="C30" s="62">
        <f t="shared" ref="C30:L30" si="7">SUM(C28:C29)</f>
        <v>275</v>
      </c>
      <c r="D30" s="11">
        <f t="shared" si="7"/>
        <v>275</v>
      </c>
      <c r="E30" s="10">
        <f t="shared" si="7"/>
        <v>4.9416666666666664</v>
      </c>
      <c r="F30" s="16">
        <f t="shared" si="7"/>
        <v>4.9416666666666664</v>
      </c>
      <c r="G30" s="10">
        <f t="shared" si="7"/>
        <v>4.6375000000000002</v>
      </c>
      <c r="H30" s="11">
        <f t="shared" si="7"/>
        <v>4.6375000000000002</v>
      </c>
      <c r="I30" s="62">
        <f t="shared" si="7"/>
        <v>37.050000000000004</v>
      </c>
      <c r="J30" s="11">
        <f t="shared" si="7"/>
        <v>37.050000000000004</v>
      </c>
      <c r="K30" s="10">
        <f t="shared" si="7"/>
        <v>209.70416666666668</v>
      </c>
      <c r="L30" s="16">
        <f t="shared" si="7"/>
        <v>209.70416666666668</v>
      </c>
      <c r="M30" s="36"/>
      <c r="N30" s="49"/>
      <c r="O30" s="40"/>
      <c r="P30" s="40"/>
      <c r="Q30" s="40"/>
      <c r="R30" s="40"/>
      <c r="S30" s="36"/>
      <c r="T30" s="37"/>
      <c r="U30" s="40"/>
      <c r="V30" s="40"/>
      <c r="W30" s="40"/>
      <c r="X30" s="40"/>
    </row>
    <row r="31" spans="1:24">
      <c r="A31" s="99"/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1"/>
      <c r="N31" s="50"/>
      <c r="T31" s="51"/>
    </row>
    <row r="32" spans="1:24">
      <c r="A32" s="26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N32" s="44"/>
      <c r="T32" s="40"/>
    </row>
    <row r="33" spans="1:20">
      <c r="A33" s="26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N33" s="44"/>
      <c r="T33" s="40"/>
    </row>
    <row r="34" spans="1:20">
      <c r="A34" s="26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N34" s="45"/>
      <c r="T34" s="46"/>
    </row>
    <row r="35" spans="1:20">
      <c r="A35" s="26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N35" s="1"/>
      <c r="T35" s="1"/>
    </row>
    <row r="36" spans="1:20">
      <c r="A36" s="26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T36" s="1"/>
    </row>
    <row r="37" spans="1:20">
      <c r="A37" s="26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</row>
    <row r="38" spans="1:20">
      <c r="A38" s="26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</row>
    <row r="39" spans="1:20">
      <c r="A39" s="26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</row>
    <row r="40" spans="1:20">
      <c r="A40" s="36"/>
      <c r="B40" s="36"/>
      <c r="C40" s="36"/>
      <c r="D40" s="32"/>
      <c r="E40" s="32"/>
      <c r="F40" s="32"/>
      <c r="G40" s="32"/>
      <c r="H40" s="32"/>
      <c r="I40" s="32"/>
      <c r="J40" s="32"/>
      <c r="K40" s="32"/>
      <c r="L40" s="32"/>
    </row>
    <row r="41" spans="1:20">
      <c r="A41" s="1"/>
      <c r="B41" s="1"/>
      <c r="C41" s="37"/>
      <c r="D41" s="26"/>
      <c r="E41" s="26"/>
      <c r="F41" s="26"/>
      <c r="G41" s="26"/>
      <c r="H41" s="26"/>
      <c r="I41" s="26"/>
      <c r="J41" s="26"/>
      <c r="K41" s="26"/>
      <c r="L41" s="26"/>
      <c r="M41" s="1"/>
    </row>
    <row r="42" spans="1:20">
      <c r="A42" s="1"/>
      <c r="B42" s="1"/>
      <c r="C42" s="37"/>
      <c r="D42" s="26"/>
      <c r="E42" s="26"/>
      <c r="F42" s="26"/>
      <c r="G42" s="26"/>
      <c r="H42" s="26"/>
      <c r="I42" s="26"/>
      <c r="J42" s="26"/>
      <c r="K42" s="26"/>
      <c r="L42" s="26"/>
      <c r="M42" s="1"/>
    </row>
    <row r="43" spans="1:20">
      <c r="A43" s="1"/>
      <c r="B43" s="1"/>
      <c r="C43" s="37"/>
      <c r="D43" s="26"/>
      <c r="E43" s="26"/>
      <c r="F43" s="26"/>
      <c r="G43" s="26"/>
      <c r="H43" s="26"/>
      <c r="I43" s="26"/>
      <c r="J43" s="26"/>
      <c r="K43" s="26"/>
      <c r="L43" s="26"/>
      <c r="M43" s="1"/>
    </row>
    <row r="44" spans="1:20">
      <c r="A44" s="1"/>
      <c r="B44" s="1"/>
      <c r="C44" s="37"/>
      <c r="D44" s="26"/>
      <c r="E44" s="26"/>
      <c r="F44" s="26"/>
      <c r="G44" s="26"/>
      <c r="H44" s="26"/>
      <c r="I44" s="26"/>
      <c r="J44" s="26"/>
      <c r="K44" s="26"/>
      <c r="L44" s="26"/>
      <c r="M44" s="1"/>
    </row>
    <row r="45" spans="1:20">
      <c r="A45" s="1"/>
      <c r="B45" s="1"/>
      <c r="C45" s="37"/>
      <c r="D45" s="1"/>
      <c r="I45" s="8"/>
      <c r="J45" s="8"/>
      <c r="K45" s="8"/>
      <c r="L45" s="8"/>
    </row>
    <row r="46" spans="1:20">
      <c r="A46" s="1"/>
      <c r="B46" s="1"/>
      <c r="C46" s="37"/>
      <c r="D46" s="1"/>
    </row>
    <row r="47" spans="1:20">
      <c r="A47" s="1"/>
      <c r="B47" s="1"/>
      <c r="C47" s="37"/>
      <c r="D47" s="1"/>
    </row>
    <row r="48" spans="1:20">
      <c r="A48" s="1"/>
      <c r="B48" s="1"/>
      <c r="C48" s="37"/>
      <c r="D48" s="1"/>
    </row>
    <row r="49" spans="1:4">
      <c r="A49" s="1"/>
      <c r="B49" s="1"/>
      <c r="C49" s="37"/>
      <c r="D49" s="1"/>
    </row>
    <row r="50" spans="1:4">
      <c r="A50" s="1"/>
      <c r="B50" s="1"/>
      <c r="C50" s="37"/>
      <c r="D50" s="1"/>
    </row>
    <row r="51" spans="1:4">
      <c r="A51" s="1"/>
      <c r="B51" s="1"/>
      <c r="C51" s="37"/>
      <c r="D51" s="1"/>
    </row>
    <row r="52" spans="1:4">
      <c r="A52" s="1"/>
      <c r="B52" s="1"/>
      <c r="C52" s="37"/>
      <c r="D52" s="1"/>
    </row>
    <row r="53" spans="1:4">
      <c r="A53" s="1"/>
      <c r="B53" s="1"/>
      <c r="C53" s="37"/>
      <c r="D53" s="1"/>
    </row>
    <row r="54" spans="1:4">
      <c r="A54" s="1"/>
      <c r="B54" s="1"/>
      <c r="C54" s="37"/>
      <c r="D54" s="1"/>
    </row>
    <row r="55" spans="1:4">
      <c r="A55" s="1"/>
      <c r="B55" s="1"/>
      <c r="C55" s="37"/>
      <c r="D55" s="1"/>
    </row>
    <row r="56" spans="1:4">
      <c r="A56" s="1"/>
      <c r="B56" s="1"/>
      <c r="C56" s="37"/>
      <c r="D56" s="1"/>
    </row>
    <row r="57" spans="1:4">
      <c r="A57" s="1"/>
      <c r="B57" s="1"/>
      <c r="C57" s="37"/>
      <c r="D57" s="1"/>
    </row>
    <row r="58" spans="1:4">
      <c r="A58" s="1"/>
      <c r="B58" s="1"/>
      <c r="C58" s="37"/>
      <c r="D58" s="1"/>
    </row>
    <row r="59" spans="1:4">
      <c r="A59" s="1"/>
      <c r="B59" s="1"/>
      <c r="C59" s="37"/>
      <c r="D59" s="1"/>
    </row>
    <row r="60" spans="1:4">
      <c r="A60" s="1"/>
      <c r="B60" s="1"/>
      <c r="C60" s="37"/>
      <c r="D60" s="1"/>
    </row>
    <row r="61" spans="1:4">
      <c r="A61" s="1"/>
      <c r="B61" s="1"/>
      <c r="C61" s="37"/>
      <c r="D61" s="1"/>
    </row>
    <row r="62" spans="1:4">
      <c r="A62" s="1"/>
      <c r="B62" s="1"/>
      <c r="C62" s="37"/>
      <c r="D62" s="1"/>
    </row>
    <row r="63" spans="1:4">
      <c r="A63" s="1"/>
      <c r="B63" s="1"/>
      <c r="C63" s="37"/>
      <c r="D63" s="1"/>
    </row>
    <row r="64" spans="1:4">
      <c r="A64" s="1"/>
      <c r="B64" s="1"/>
      <c r="C64" s="37"/>
      <c r="D64" s="1"/>
    </row>
    <row r="65" spans="1:4">
      <c r="A65" s="1"/>
      <c r="B65" s="1"/>
      <c r="C65" s="37"/>
      <c r="D65" s="1"/>
    </row>
    <row r="66" spans="1:4">
      <c r="A66" s="1"/>
      <c r="B66" s="1"/>
      <c r="C66" s="37"/>
      <c r="D66" s="1"/>
    </row>
    <row r="67" spans="1:4">
      <c r="A67" s="1"/>
      <c r="B67" s="1"/>
      <c r="C67" s="1"/>
    </row>
    <row r="68" spans="1:4">
      <c r="A68" s="1"/>
      <c r="B68" s="1"/>
      <c r="C68" s="1"/>
    </row>
    <row r="69" spans="1:4">
      <c r="A69" s="1"/>
      <c r="B69" s="1"/>
      <c r="C69" s="1"/>
    </row>
    <row r="70" spans="1:4">
      <c r="A70" s="1"/>
      <c r="B70" s="1"/>
      <c r="C70" s="1"/>
    </row>
    <row r="71" spans="1:4">
      <c r="A71" s="1"/>
      <c r="B71" s="1"/>
      <c r="C71" s="1"/>
    </row>
  </sheetData>
  <mergeCells count="17">
    <mergeCell ref="A1:B1"/>
    <mergeCell ref="E1:H1"/>
    <mergeCell ref="A2:D2"/>
    <mergeCell ref="E2:H2"/>
    <mergeCell ref="A3:A5"/>
    <mergeCell ref="B3:B5"/>
    <mergeCell ref="C3:D4"/>
    <mergeCell ref="E3:J3"/>
    <mergeCell ref="A24:L24"/>
    <mergeCell ref="A27:L27"/>
    <mergeCell ref="A31:L31"/>
    <mergeCell ref="K3:L4"/>
    <mergeCell ref="E4:F4"/>
    <mergeCell ref="G4:H4"/>
    <mergeCell ref="I4:J4"/>
    <mergeCell ref="A6:L6"/>
    <mergeCell ref="A12:L12"/>
  </mergeCells>
  <pageMargins left="0.32291666666666669" right="0.7" top="0.29166666666666669" bottom="0.44791666666666669" header="0.3" footer="0.3"/>
  <pageSetup paperSize="9" orientation="landscape" horizontalDpi="180" verticalDpi="1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X71"/>
  <sheetViews>
    <sheetView topLeftCell="A4" zoomScaleNormal="100" workbookViewId="0">
      <selection activeCell="A29" sqref="A29:L29"/>
    </sheetView>
  </sheetViews>
  <sheetFormatPr defaultRowHeight="15"/>
  <cols>
    <col min="1" max="1" width="10.5703125" style="73" customWidth="1"/>
    <col min="2" max="2" width="37" style="73" customWidth="1"/>
    <col min="3" max="3" width="7.28515625" style="73" customWidth="1"/>
    <col min="4" max="4" width="9" style="73" customWidth="1"/>
    <col min="5" max="5" width="6.7109375" style="73" customWidth="1"/>
    <col min="6" max="6" width="6.85546875" style="73" customWidth="1"/>
    <col min="7" max="7" width="6.42578125" style="73" customWidth="1"/>
    <col min="8" max="8" width="6.5703125" style="73" customWidth="1"/>
    <col min="9" max="9" width="7.5703125" style="73" customWidth="1"/>
    <col min="10" max="10" width="7.42578125" style="73" customWidth="1"/>
    <col min="11" max="11" width="9.7109375" style="73" customWidth="1"/>
    <col min="12" max="12" width="9.42578125" style="73" customWidth="1"/>
    <col min="13" max="13" width="9" style="73" customWidth="1"/>
    <col min="14" max="14" width="7.28515625" style="73" customWidth="1"/>
    <col min="15" max="18" width="9.140625" style="73"/>
    <col min="19" max="19" width="19.7109375" style="73" customWidth="1"/>
    <col min="20" max="20" width="7.7109375" style="73" customWidth="1"/>
    <col min="21" max="21" width="9.140625" style="73"/>
    <col min="22" max="22" width="7.7109375" style="73" customWidth="1"/>
    <col min="23" max="16384" width="9.140625" style="73"/>
  </cols>
  <sheetData>
    <row r="1" spans="1:24" ht="15.75">
      <c r="A1" s="107" t="s">
        <v>122</v>
      </c>
      <c r="B1" s="107"/>
      <c r="C1" s="60"/>
      <c r="D1" s="60"/>
      <c r="E1" s="108" t="s">
        <v>237</v>
      </c>
      <c r="F1" s="108"/>
      <c r="G1" s="108"/>
      <c r="H1" s="108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5.75">
      <c r="A2" s="109" t="s">
        <v>123</v>
      </c>
      <c r="B2" s="109"/>
      <c r="C2" s="109"/>
      <c r="D2" s="109"/>
      <c r="E2" s="109" t="s">
        <v>169</v>
      </c>
      <c r="F2" s="109"/>
      <c r="G2" s="109"/>
      <c r="H2" s="109"/>
      <c r="I2" s="61"/>
      <c r="J2" s="61"/>
      <c r="K2" s="61"/>
      <c r="L2" s="61"/>
      <c r="M2" s="36"/>
      <c r="N2" s="36"/>
      <c r="O2" s="1"/>
      <c r="P2" s="1"/>
      <c r="Q2" s="1"/>
      <c r="R2" s="1"/>
      <c r="S2" s="36"/>
      <c r="T2" s="36"/>
      <c r="U2" s="1"/>
      <c r="V2" s="1"/>
      <c r="W2" s="1"/>
      <c r="X2" s="1"/>
    </row>
    <row r="3" spans="1:24" ht="15" customHeight="1">
      <c r="A3" s="110" t="s">
        <v>0</v>
      </c>
      <c r="B3" s="113" t="s">
        <v>1</v>
      </c>
      <c r="C3" s="116" t="s">
        <v>8</v>
      </c>
      <c r="D3" s="117"/>
      <c r="E3" s="103" t="s">
        <v>9</v>
      </c>
      <c r="F3" s="103"/>
      <c r="G3" s="103"/>
      <c r="H3" s="103"/>
      <c r="I3" s="103"/>
      <c r="J3" s="103"/>
      <c r="K3" s="102" t="s">
        <v>7</v>
      </c>
      <c r="L3" s="102"/>
      <c r="M3" s="1"/>
      <c r="N3" s="37"/>
      <c r="O3" s="40"/>
      <c r="P3" s="40"/>
      <c r="Q3" s="40"/>
      <c r="R3" s="40"/>
      <c r="S3" s="1"/>
      <c r="T3" s="37"/>
      <c r="U3" s="40"/>
      <c r="V3" s="40"/>
      <c r="W3" s="40"/>
      <c r="X3" s="40"/>
    </row>
    <row r="4" spans="1:24">
      <c r="A4" s="111"/>
      <c r="B4" s="114"/>
      <c r="C4" s="116"/>
      <c r="D4" s="117"/>
      <c r="E4" s="103" t="s">
        <v>5</v>
      </c>
      <c r="F4" s="103"/>
      <c r="G4" s="102" t="s">
        <v>4</v>
      </c>
      <c r="H4" s="102"/>
      <c r="I4" s="103" t="s">
        <v>6</v>
      </c>
      <c r="J4" s="103"/>
      <c r="K4" s="102"/>
      <c r="L4" s="102"/>
      <c r="M4" s="1"/>
      <c r="N4" s="37"/>
      <c r="O4" s="40"/>
      <c r="P4" s="40"/>
      <c r="Q4" s="40"/>
      <c r="R4" s="40"/>
      <c r="S4" s="1"/>
      <c r="T4" s="37"/>
      <c r="U4" s="40"/>
      <c r="V4" s="40"/>
      <c r="W4" s="40"/>
      <c r="X4" s="40"/>
    </row>
    <row r="5" spans="1:24" ht="63">
      <c r="A5" s="112"/>
      <c r="B5" s="115"/>
      <c r="C5" s="75" t="s">
        <v>128</v>
      </c>
      <c r="D5" s="76" t="s">
        <v>127</v>
      </c>
      <c r="E5" s="75" t="s">
        <v>128</v>
      </c>
      <c r="F5" s="76" t="s">
        <v>127</v>
      </c>
      <c r="G5" s="75" t="s">
        <v>128</v>
      </c>
      <c r="H5" s="76" t="s">
        <v>127</v>
      </c>
      <c r="I5" s="75" t="s">
        <v>128</v>
      </c>
      <c r="J5" s="76" t="s">
        <v>127</v>
      </c>
      <c r="K5" s="75" t="s">
        <v>128</v>
      </c>
      <c r="L5" s="77" t="s">
        <v>127</v>
      </c>
      <c r="M5" s="1"/>
      <c r="N5" s="37"/>
      <c r="O5" s="40"/>
      <c r="P5" s="40"/>
      <c r="Q5" s="40"/>
      <c r="R5" s="40"/>
      <c r="S5" s="1"/>
      <c r="T5" s="37"/>
      <c r="U5" s="40"/>
      <c r="V5" s="40"/>
      <c r="W5" s="40"/>
      <c r="X5" s="40"/>
    </row>
    <row r="6" spans="1:24">
      <c r="A6" s="99" t="s">
        <v>10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1"/>
      <c r="M6" s="1"/>
      <c r="N6" s="37"/>
      <c r="O6" s="40"/>
      <c r="P6" s="40"/>
      <c r="Q6" s="40"/>
      <c r="R6" s="40"/>
      <c r="S6" s="1"/>
      <c r="T6" s="37"/>
      <c r="U6" s="40"/>
      <c r="V6" s="40"/>
      <c r="W6" s="40"/>
      <c r="X6" s="40"/>
    </row>
    <row r="7" spans="1:24">
      <c r="A7" s="47" t="s">
        <v>153</v>
      </c>
      <c r="B7" s="74" t="s">
        <v>154</v>
      </c>
      <c r="C7" s="15">
        <v>160</v>
      </c>
      <c r="D7" s="20">
        <v>200</v>
      </c>
      <c r="E7" s="13">
        <f>C7*1.1/100</f>
        <v>1.76</v>
      </c>
      <c r="F7" s="17">
        <f>D7*1.1/100</f>
        <v>2.2000000000000002</v>
      </c>
      <c r="G7" s="13">
        <f>C7*4.1/100</f>
        <v>6.56</v>
      </c>
      <c r="H7" s="17">
        <f>D7*4.1/100</f>
        <v>8.1999999999999993</v>
      </c>
      <c r="I7" s="13">
        <f>C7*10.5/100</f>
        <v>16.8</v>
      </c>
      <c r="J7" s="17">
        <f>D7*10.5/100</f>
        <v>21</v>
      </c>
      <c r="K7" s="15">
        <f t="shared" ref="K7:L11" si="0">E7*4+G7*9+I7*4</f>
        <v>133.28</v>
      </c>
      <c r="L7" s="17">
        <f t="shared" si="0"/>
        <v>166.6</v>
      </c>
      <c r="M7" s="1"/>
      <c r="N7" s="37"/>
      <c r="O7" s="40"/>
      <c r="P7" s="40"/>
      <c r="Q7" s="40"/>
      <c r="R7" s="40"/>
      <c r="S7" s="1"/>
      <c r="T7" s="37"/>
      <c r="U7" s="40"/>
      <c r="V7" s="40"/>
      <c r="W7" s="40"/>
      <c r="X7" s="40"/>
    </row>
    <row r="8" spans="1:24">
      <c r="A8" s="65"/>
      <c r="B8" s="2" t="s">
        <v>2</v>
      </c>
      <c r="C8" s="14">
        <v>30</v>
      </c>
      <c r="D8" s="21">
        <v>40</v>
      </c>
      <c r="E8" s="14">
        <f>C8*7.5/100</f>
        <v>2.25</v>
      </c>
      <c r="F8" s="27">
        <f>D8*7.5/100</f>
        <v>3</v>
      </c>
      <c r="G8" s="13">
        <f>C8*2.9/100</f>
        <v>0.87</v>
      </c>
      <c r="H8" s="18">
        <f>D8*2.9/100</f>
        <v>1.1599999999999999</v>
      </c>
      <c r="I8" s="15">
        <f>C8*51.4/100</f>
        <v>15.42</v>
      </c>
      <c r="J8" s="18">
        <f>D8*51.4/100</f>
        <v>20.56</v>
      </c>
      <c r="K8" s="15">
        <f t="shared" si="0"/>
        <v>78.509999999999991</v>
      </c>
      <c r="L8" s="18">
        <f t="shared" si="0"/>
        <v>104.67999999999999</v>
      </c>
      <c r="M8" s="1"/>
      <c r="N8" s="37"/>
      <c r="O8" s="40"/>
      <c r="P8" s="40"/>
      <c r="Q8" s="40"/>
      <c r="R8" s="40"/>
      <c r="S8" s="1"/>
      <c r="T8" s="37"/>
      <c r="U8" s="40"/>
      <c r="V8" s="40"/>
      <c r="W8" s="40"/>
      <c r="X8" s="40"/>
    </row>
    <row r="9" spans="1:24">
      <c r="A9" s="81" t="s">
        <v>156</v>
      </c>
      <c r="B9" s="4" t="s">
        <v>155</v>
      </c>
      <c r="C9" s="15">
        <v>10</v>
      </c>
      <c r="D9" s="22">
        <v>10</v>
      </c>
      <c r="E9" s="15">
        <f>C9*2.32/10</f>
        <v>2.3199999999999998</v>
      </c>
      <c r="F9" s="18">
        <f>D9*2.31/10</f>
        <v>2.31</v>
      </c>
      <c r="G9" s="13">
        <f>C9*2.96/10</f>
        <v>2.96</v>
      </c>
      <c r="H9" s="17">
        <f>D9*2.96/10</f>
        <v>2.96</v>
      </c>
      <c r="I9" s="24">
        <f>C9*0/10</f>
        <v>0</v>
      </c>
      <c r="J9" s="19">
        <f>D9*0/10</f>
        <v>0</v>
      </c>
      <c r="K9" s="13">
        <f t="shared" si="0"/>
        <v>35.92</v>
      </c>
      <c r="L9" s="17">
        <f t="shared" si="0"/>
        <v>35.880000000000003</v>
      </c>
      <c r="M9" s="1"/>
      <c r="N9" s="37"/>
      <c r="O9" s="40"/>
      <c r="P9" s="40"/>
      <c r="Q9" s="40"/>
      <c r="R9" s="40"/>
      <c r="S9" s="1"/>
      <c r="T9" s="37"/>
      <c r="U9" s="40"/>
      <c r="V9" s="40"/>
      <c r="W9" s="40"/>
      <c r="X9" s="40"/>
    </row>
    <row r="10" spans="1:24">
      <c r="A10" s="47" t="s">
        <v>175</v>
      </c>
      <c r="B10" s="2" t="s">
        <v>3</v>
      </c>
      <c r="C10" s="15">
        <v>200</v>
      </c>
      <c r="D10" s="18">
        <v>200</v>
      </c>
      <c r="E10" s="13">
        <f>C10*4.9/200</f>
        <v>4.9000000000000004</v>
      </c>
      <c r="F10" s="17">
        <f>D10*4.9/200</f>
        <v>4.9000000000000004</v>
      </c>
      <c r="G10" s="13">
        <f>C10*5/200</f>
        <v>5</v>
      </c>
      <c r="H10" s="17">
        <f>D10*5/200</f>
        <v>5</v>
      </c>
      <c r="I10" s="13">
        <f>C10*32.5/200</f>
        <v>32.5</v>
      </c>
      <c r="J10" s="17">
        <f>D10*32.5/200</f>
        <v>32.5</v>
      </c>
      <c r="K10" s="13">
        <f t="shared" si="0"/>
        <v>194.6</v>
      </c>
      <c r="L10" s="17">
        <f t="shared" si="0"/>
        <v>194.6</v>
      </c>
      <c r="M10" s="1"/>
      <c r="N10" s="37"/>
      <c r="O10" s="40"/>
      <c r="P10" s="40"/>
      <c r="Q10" s="40"/>
      <c r="R10" s="40"/>
      <c r="S10" s="1"/>
      <c r="T10" s="37"/>
      <c r="U10" s="40"/>
      <c r="V10" s="40"/>
      <c r="W10" s="40"/>
      <c r="X10" s="40"/>
    </row>
    <row r="11" spans="1:24">
      <c r="A11" s="64"/>
      <c r="B11" s="7" t="s">
        <v>19</v>
      </c>
      <c r="C11" s="62">
        <f t="shared" ref="C11:J11" si="1">SUM(C7:C10)</f>
        <v>400</v>
      </c>
      <c r="D11" s="23">
        <f t="shared" si="1"/>
        <v>450</v>
      </c>
      <c r="E11" s="10">
        <f t="shared" si="1"/>
        <v>11.23</v>
      </c>
      <c r="F11" s="16">
        <f t="shared" si="1"/>
        <v>12.41</v>
      </c>
      <c r="G11" s="10">
        <f t="shared" si="1"/>
        <v>15.39</v>
      </c>
      <c r="H11" s="16">
        <f t="shared" si="1"/>
        <v>17.32</v>
      </c>
      <c r="I11" s="10">
        <f t="shared" si="1"/>
        <v>64.72</v>
      </c>
      <c r="J11" s="16">
        <f t="shared" si="1"/>
        <v>74.06</v>
      </c>
      <c r="K11" s="10">
        <f t="shared" si="0"/>
        <v>442.31</v>
      </c>
      <c r="L11" s="16">
        <f t="shared" si="0"/>
        <v>501.76</v>
      </c>
      <c r="M11" s="1"/>
      <c r="N11" s="37"/>
      <c r="O11" s="40"/>
      <c r="P11" s="40"/>
      <c r="Q11" s="40"/>
      <c r="R11" s="40"/>
      <c r="S11" s="1"/>
      <c r="T11" s="37"/>
      <c r="U11" s="40"/>
      <c r="V11" s="40"/>
      <c r="W11" s="40"/>
      <c r="X11" s="40"/>
    </row>
    <row r="12" spans="1:24">
      <c r="A12" s="104" t="s">
        <v>11</v>
      </c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06"/>
      <c r="M12" s="1"/>
      <c r="N12" s="37"/>
      <c r="O12" s="40"/>
      <c r="P12" s="40"/>
      <c r="Q12" s="40"/>
      <c r="R12" s="40"/>
      <c r="S12" s="1"/>
      <c r="T12" s="37"/>
      <c r="U12" s="40"/>
      <c r="V12" s="40"/>
      <c r="W12" s="40"/>
      <c r="X12" s="40"/>
    </row>
    <row r="13" spans="1:24">
      <c r="A13" s="47" t="s">
        <v>226</v>
      </c>
      <c r="B13" s="2" t="s">
        <v>225</v>
      </c>
      <c r="C13" s="15">
        <v>60</v>
      </c>
      <c r="D13" s="25">
        <v>100</v>
      </c>
      <c r="E13" s="13">
        <f>C13*1.6/100</f>
        <v>0.96</v>
      </c>
      <c r="F13" s="17">
        <f>D13*1.6/100</f>
        <v>1.6</v>
      </c>
      <c r="G13" s="13">
        <f>C13*4.99/100</f>
        <v>2.9940000000000002</v>
      </c>
      <c r="H13" s="17">
        <f>D13*4.99/100</f>
        <v>4.99</v>
      </c>
      <c r="I13" s="13">
        <f>C13*9.24/100</f>
        <v>5.5439999999999996</v>
      </c>
      <c r="J13" s="17">
        <f>D13*9.24/100</f>
        <v>9.24</v>
      </c>
      <c r="K13" s="83">
        <f t="shared" ref="K13:L28" si="2">E13*4+G13*9+I13*4</f>
        <v>52.962000000000003</v>
      </c>
      <c r="L13" s="84">
        <f t="shared" si="2"/>
        <v>88.27000000000001</v>
      </c>
      <c r="M13" s="1"/>
      <c r="N13" s="37"/>
      <c r="O13" s="40"/>
      <c r="P13" s="40"/>
      <c r="Q13" s="40"/>
      <c r="R13" s="40"/>
      <c r="S13" s="1"/>
      <c r="T13" s="37"/>
      <c r="U13" s="40"/>
      <c r="V13" s="40"/>
      <c r="W13" s="40"/>
      <c r="X13" s="40"/>
    </row>
    <row r="14" spans="1:24">
      <c r="A14" s="47" t="s">
        <v>239</v>
      </c>
      <c r="B14" s="74" t="s">
        <v>240</v>
      </c>
      <c r="C14" s="14">
        <v>200</v>
      </c>
      <c r="D14" s="54">
        <v>250</v>
      </c>
      <c r="E14" s="13">
        <f>C14*1.12/100</f>
        <v>2.2400000000000002</v>
      </c>
      <c r="F14" s="17">
        <f>D14*1.12/100</f>
        <v>2.8</v>
      </c>
      <c r="G14" s="13">
        <f>C14*1.31/100</f>
        <v>2.62</v>
      </c>
      <c r="H14" s="17">
        <f>D14*1.31/100</f>
        <v>3.2749999999999999</v>
      </c>
      <c r="I14" s="13">
        <f>C14*6.56/100</f>
        <v>13.12</v>
      </c>
      <c r="J14" s="17">
        <f>D14*6.56/100</f>
        <v>16.399999999999999</v>
      </c>
      <c r="K14" s="83">
        <f t="shared" si="2"/>
        <v>85.02000000000001</v>
      </c>
      <c r="L14" s="84">
        <f t="shared" si="2"/>
        <v>106.27499999999999</v>
      </c>
      <c r="M14" s="1"/>
      <c r="N14" s="37"/>
      <c r="O14" s="40"/>
      <c r="P14" s="40"/>
      <c r="Q14" s="40"/>
      <c r="R14" s="40"/>
      <c r="S14" s="1"/>
      <c r="T14" s="37"/>
      <c r="U14" s="40"/>
      <c r="V14" s="40"/>
      <c r="W14" s="40"/>
      <c r="X14" s="40"/>
    </row>
    <row r="15" spans="1:24">
      <c r="A15" s="47"/>
      <c r="B15" s="5" t="s">
        <v>161</v>
      </c>
      <c r="C15" s="15">
        <v>10</v>
      </c>
      <c r="D15" s="18">
        <v>10</v>
      </c>
      <c r="E15" s="15">
        <f>C15*2.6/100</f>
        <v>0.26</v>
      </c>
      <c r="F15" s="18">
        <f>D15*2.6/100</f>
        <v>0.26</v>
      </c>
      <c r="G15" s="13">
        <f>C15*15/100</f>
        <v>1.5</v>
      </c>
      <c r="H15" s="17">
        <f>D15*15/100</f>
        <v>1.5</v>
      </c>
      <c r="I15" s="15">
        <f>C15*3.6/100</f>
        <v>0.36</v>
      </c>
      <c r="J15" s="18">
        <f>D15*3.6/100</f>
        <v>0.36</v>
      </c>
      <c r="K15" s="13">
        <f t="shared" si="2"/>
        <v>15.979999999999999</v>
      </c>
      <c r="L15" s="17">
        <f t="shared" si="2"/>
        <v>15.979999999999999</v>
      </c>
      <c r="M15" s="32"/>
      <c r="N15" s="32"/>
      <c r="O15" s="40"/>
      <c r="P15" s="40"/>
      <c r="Q15" s="40"/>
      <c r="R15" s="40"/>
      <c r="S15" s="1"/>
      <c r="T15" s="37"/>
      <c r="U15" s="40"/>
      <c r="V15" s="40"/>
      <c r="W15" s="40"/>
      <c r="X15" s="40"/>
    </row>
    <row r="16" spans="1:24">
      <c r="A16" s="47" t="s">
        <v>241</v>
      </c>
      <c r="B16" s="74" t="s">
        <v>31</v>
      </c>
      <c r="C16" s="15">
        <v>150</v>
      </c>
      <c r="D16" s="18">
        <v>200</v>
      </c>
      <c r="E16" s="13">
        <f>C16*9.09/100</f>
        <v>13.635</v>
      </c>
      <c r="F16" s="17">
        <f>D16*9.09/100</f>
        <v>18.18</v>
      </c>
      <c r="G16" s="13">
        <f>C16*4.57/100</f>
        <v>6.8550000000000004</v>
      </c>
      <c r="H16" s="17">
        <f>D16*4.57/100</f>
        <v>9.14</v>
      </c>
      <c r="I16" s="13">
        <f>C16*23.35/100</f>
        <v>35.024999999999999</v>
      </c>
      <c r="J16" s="17">
        <f>D16*23.35/100</f>
        <v>46.7</v>
      </c>
      <c r="K16" s="13">
        <f t="shared" si="2"/>
        <v>256.33500000000004</v>
      </c>
      <c r="L16" s="17">
        <f t="shared" si="2"/>
        <v>341.78000000000003</v>
      </c>
      <c r="M16" s="1"/>
      <c r="N16" s="37"/>
      <c r="O16" s="40"/>
      <c r="P16" s="40"/>
      <c r="Q16" s="40"/>
      <c r="R16" s="40"/>
      <c r="S16" s="1"/>
      <c r="T16" s="37"/>
      <c r="U16" s="40"/>
      <c r="V16" s="40"/>
      <c r="W16" s="40"/>
      <c r="X16" s="40"/>
    </row>
    <row r="17" spans="1:24">
      <c r="A17" s="47" t="s">
        <v>243</v>
      </c>
      <c r="B17" s="86" t="s">
        <v>242</v>
      </c>
      <c r="C17" s="15">
        <v>90</v>
      </c>
      <c r="D17" s="18">
        <v>100</v>
      </c>
      <c r="E17" s="13">
        <f>C17*12.64/80</f>
        <v>14.220000000000002</v>
      </c>
      <c r="F17" s="17">
        <f>D17*12.64/80</f>
        <v>15.8</v>
      </c>
      <c r="G17" s="13">
        <f>C17*13.14/80</f>
        <v>14.782500000000002</v>
      </c>
      <c r="H17" s="17">
        <f>D17*13.14/80</f>
        <v>16.425000000000001</v>
      </c>
      <c r="I17" s="13">
        <f>C17*7.23/80</f>
        <v>8.1337500000000009</v>
      </c>
      <c r="J17" s="17">
        <f>D17*7.23/80</f>
        <v>9.0374999999999996</v>
      </c>
      <c r="K17" s="13">
        <f t="shared" si="2"/>
        <v>222.45750000000001</v>
      </c>
      <c r="L17" s="17">
        <f t="shared" si="2"/>
        <v>247.17500000000004</v>
      </c>
      <c r="M17" s="1"/>
      <c r="N17" s="37"/>
      <c r="O17" s="40"/>
      <c r="P17" s="40"/>
      <c r="Q17" s="40"/>
      <c r="R17" s="40"/>
      <c r="S17" s="1"/>
      <c r="T17" s="37"/>
      <c r="U17" s="40"/>
      <c r="V17" s="40"/>
      <c r="W17" s="40"/>
      <c r="X17" s="40"/>
    </row>
    <row r="18" spans="1:24">
      <c r="A18" s="47" t="s">
        <v>165</v>
      </c>
      <c r="B18" s="2" t="s">
        <v>24</v>
      </c>
      <c r="C18" s="15">
        <v>20</v>
      </c>
      <c r="D18" s="18">
        <v>30</v>
      </c>
      <c r="E18" s="13">
        <f>C18*1.3/50</f>
        <v>0.52</v>
      </c>
      <c r="F18" s="17">
        <f>D18*1.3/50</f>
        <v>0.78</v>
      </c>
      <c r="G18" s="13">
        <f>C18*4.8/50</f>
        <v>1.92</v>
      </c>
      <c r="H18" s="17">
        <f>D18*4.8/50</f>
        <v>2.88</v>
      </c>
      <c r="I18" s="13">
        <f>C18*4.7/50</f>
        <v>1.88</v>
      </c>
      <c r="J18" s="17">
        <f>D18*4.7/50</f>
        <v>2.82</v>
      </c>
      <c r="K18" s="13">
        <f t="shared" si="2"/>
        <v>26.88</v>
      </c>
      <c r="L18" s="17">
        <f t="shared" si="2"/>
        <v>40.32</v>
      </c>
      <c r="M18" s="1"/>
      <c r="N18" s="37"/>
      <c r="O18" s="40"/>
      <c r="P18" s="40"/>
      <c r="Q18" s="40"/>
      <c r="R18" s="40"/>
      <c r="S18" s="1"/>
      <c r="T18" s="37"/>
      <c r="U18" s="40"/>
      <c r="V18" s="40"/>
      <c r="W18" s="40"/>
      <c r="X18" s="40"/>
    </row>
    <row r="19" spans="1:24">
      <c r="A19" s="47" t="s">
        <v>140</v>
      </c>
      <c r="B19" s="2" t="s">
        <v>141</v>
      </c>
      <c r="C19" s="15">
        <v>200</v>
      </c>
      <c r="D19" s="18">
        <v>200</v>
      </c>
      <c r="E19" s="13">
        <f>C19*0.06/180</f>
        <v>6.6666666666666666E-2</v>
      </c>
      <c r="F19" s="17">
        <f>D19*0.06/180</f>
        <v>6.6666666666666666E-2</v>
      </c>
      <c r="G19" s="13">
        <f>C19*0/50</f>
        <v>0</v>
      </c>
      <c r="H19" s="17">
        <f>D19*0/50</f>
        <v>0</v>
      </c>
      <c r="I19" s="13">
        <f>C19*9.99/180</f>
        <v>11.1</v>
      </c>
      <c r="J19" s="17">
        <f>D19*9.99/180</f>
        <v>11.1</v>
      </c>
      <c r="K19" s="13">
        <f t="shared" si="2"/>
        <v>44.666666666666664</v>
      </c>
      <c r="L19" s="17">
        <f t="shared" si="2"/>
        <v>44.666666666666664</v>
      </c>
      <c r="M19" s="1"/>
      <c r="N19" s="37"/>
      <c r="O19" s="40"/>
      <c r="P19" s="40"/>
      <c r="Q19" s="40"/>
      <c r="R19" s="40"/>
      <c r="S19" s="1"/>
      <c r="T19" s="37"/>
      <c r="U19" s="40"/>
      <c r="V19" s="40"/>
      <c r="W19" s="40"/>
      <c r="X19" s="40"/>
    </row>
    <row r="20" spans="1:24">
      <c r="A20" s="65"/>
      <c r="B20" s="5" t="s">
        <v>217</v>
      </c>
      <c r="C20" s="15">
        <v>30</v>
      </c>
      <c r="D20" s="18">
        <v>40</v>
      </c>
      <c r="E20" s="13">
        <f>C20*6.6/100</f>
        <v>1.98</v>
      </c>
      <c r="F20" s="17">
        <f>D20*6.6/100</f>
        <v>2.64</v>
      </c>
      <c r="G20" s="13">
        <f>C20*1.1/100</f>
        <v>0.33</v>
      </c>
      <c r="H20" s="17">
        <f>D20*1.1/100</f>
        <v>0.44</v>
      </c>
      <c r="I20" s="13">
        <f>C20*43.9/100</f>
        <v>13.17</v>
      </c>
      <c r="J20" s="17">
        <f>D20*43.9/100</f>
        <v>17.559999999999999</v>
      </c>
      <c r="K20" s="13">
        <f t="shared" si="2"/>
        <v>63.57</v>
      </c>
      <c r="L20" s="17">
        <f t="shared" si="2"/>
        <v>84.759999999999991</v>
      </c>
      <c r="M20" s="1"/>
      <c r="N20" s="37"/>
      <c r="O20" s="40"/>
      <c r="P20" s="40"/>
      <c r="Q20" s="40"/>
      <c r="R20" s="40"/>
      <c r="S20" s="1"/>
      <c r="T20" s="37"/>
      <c r="U20" s="40"/>
      <c r="V20" s="40"/>
      <c r="W20" s="40"/>
      <c r="X20" s="40"/>
    </row>
    <row r="21" spans="1:24">
      <c r="A21" s="65"/>
      <c r="B21" s="5" t="s">
        <v>216</v>
      </c>
      <c r="C21" s="15">
        <v>30</v>
      </c>
      <c r="D21" s="18">
        <v>40</v>
      </c>
      <c r="E21" s="13">
        <f>C21*7.7/100</f>
        <v>2.31</v>
      </c>
      <c r="F21" s="17">
        <f>D21*7.7/100</f>
        <v>3.08</v>
      </c>
      <c r="G21" s="13">
        <f>C21*0.8/100</f>
        <v>0.24</v>
      </c>
      <c r="H21" s="17">
        <f>D21*0.8/100</f>
        <v>0.32</v>
      </c>
      <c r="I21" s="13">
        <f>C21*49.5/100</f>
        <v>14.85</v>
      </c>
      <c r="J21" s="17">
        <f>D21*49.5/100</f>
        <v>19.8</v>
      </c>
      <c r="K21" s="13">
        <f t="shared" si="2"/>
        <v>70.8</v>
      </c>
      <c r="L21" s="17">
        <f t="shared" si="2"/>
        <v>94.4</v>
      </c>
      <c r="M21" s="1"/>
      <c r="N21" s="37"/>
      <c r="O21" s="40"/>
      <c r="P21" s="40"/>
      <c r="Q21" s="40"/>
      <c r="R21" s="40"/>
      <c r="S21" s="1"/>
      <c r="T21" s="37"/>
      <c r="U21" s="40"/>
      <c r="V21" s="40"/>
      <c r="W21" s="40"/>
      <c r="X21" s="40"/>
    </row>
    <row r="22" spans="1:24">
      <c r="A22" s="65"/>
      <c r="B22" s="5" t="s">
        <v>248</v>
      </c>
      <c r="C22" s="15">
        <v>100</v>
      </c>
      <c r="D22" s="18">
        <v>100</v>
      </c>
      <c r="E22" s="13">
        <v>0.4</v>
      </c>
      <c r="F22" s="17">
        <v>0.4</v>
      </c>
      <c r="G22" s="13">
        <v>0.4</v>
      </c>
      <c r="H22" s="17">
        <v>0.4</v>
      </c>
      <c r="I22" s="13">
        <v>9.8000000000000007</v>
      </c>
      <c r="J22" s="17">
        <v>9.8000000000000007</v>
      </c>
      <c r="K22" s="13">
        <f t="shared" si="2"/>
        <v>44.400000000000006</v>
      </c>
      <c r="L22" s="17">
        <f t="shared" si="2"/>
        <v>44.400000000000006</v>
      </c>
      <c r="M22" s="1"/>
      <c r="N22" s="37"/>
      <c r="O22" s="40"/>
      <c r="P22" s="40"/>
      <c r="Q22" s="40"/>
      <c r="R22" s="40"/>
      <c r="S22" s="1"/>
      <c r="T22" s="37"/>
      <c r="U22" s="40"/>
      <c r="V22" s="40"/>
      <c r="W22" s="40"/>
      <c r="X22" s="40"/>
    </row>
    <row r="23" spans="1:24">
      <c r="A23" s="65"/>
      <c r="B23" s="7" t="s">
        <v>20</v>
      </c>
      <c r="C23" s="62">
        <f t="shared" ref="C23:L23" si="3">SUM(C13:C22)</f>
        <v>890</v>
      </c>
      <c r="D23" s="28">
        <f t="shared" si="3"/>
        <v>1070</v>
      </c>
      <c r="E23" s="10">
        <f t="shared" si="3"/>
        <v>36.591666666666669</v>
      </c>
      <c r="F23" s="16">
        <f t="shared" si="3"/>
        <v>45.606666666666669</v>
      </c>
      <c r="G23" s="62">
        <f t="shared" si="3"/>
        <v>31.641499999999997</v>
      </c>
      <c r="H23" s="16">
        <f t="shared" si="3"/>
        <v>39.369999999999997</v>
      </c>
      <c r="I23" s="62">
        <f t="shared" si="3"/>
        <v>112.98274999999998</v>
      </c>
      <c r="J23" s="16">
        <f t="shared" si="3"/>
        <v>142.8175</v>
      </c>
      <c r="K23" s="10">
        <f t="shared" si="3"/>
        <v>883.07116666666661</v>
      </c>
      <c r="L23" s="16">
        <f t="shared" si="3"/>
        <v>1108.0266666666669</v>
      </c>
      <c r="M23" s="1"/>
      <c r="N23" s="37"/>
      <c r="O23" s="40"/>
      <c r="P23" s="40"/>
      <c r="Q23" s="40"/>
      <c r="R23" s="40"/>
      <c r="S23" s="1"/>
      <c r="T23" s="37"/>
      <c r="U23" s="40"/>
      <c r="V23" s="40"/>
      <c r="W23" s="40"/>
      <c r="X23" s="40"/>
    </row>
    <row r="24" spans="1:24">
      <c r="A24" s="99"/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1"/>
      <c r="M24" s="1"/>
      <c r="N24" s="37"/>
      <c r="O24" s="40"/>
      <c r="P24" s="40"/>
      <c r="Q24" s="40"/>
      <c r="R24" s="40"/>
      <c r="S24" s="1"/>
      <c r="T24" s="37"/>
      <c r="U24" s="40"/>
      <c r="V24" s="40"/>
      <c r="W24" s="40"/>
      <c r="X24" s="40"/>
    </row>
    <row r="25" spans="1:24">
      <c r="A25" s="29"/>
      <c r="B25" s="30" t="s">
        <v>16</v>
      </c>
      <c r="C25" s="31"/>
      <c r="D25" s="31"/>
      <c r="E25" s="33">
        <f t="shared" ref="E25:L25" si="4">E11+E23</f>
        <v>47.821666666666673</v>
      </c>
      <c r="F25" s="34">
        <f t="shared" si="4"/>
        <v>58.016666666666666</v>
      </c>
      <c r="G25" s="33">
        <f t="shared" si="4"/>
        <v>47.031499999999994</v>
      </c>
      <c r="H25" s="34">
        <f t="shared" si="4"/>
        <v>56.69</v>
      </c>
      <c r="I25" s="33">
        <f t="shared" si="4"/>
        <v>177.70274999999998</v>
      </c>
      <c r="J25" s="34">
        <f t="shared" si="4"/>
        <v>216.8775</v>
      </c>
      <c r="K25" s="33">
        <f t="shared" si="4"/>
        <v>1325.3811666666666</v>
      </c>
      <c r="L25" s="34">
        <f t="shared" si="4"/>
        <v>1609.7866666666669</v>
      </c>
      <c r="M25" s="1"/>
      <c r="N25" s="37"/>
      <c r="O25" s="40"/>
      <c r="P25" s="40"/>
      <c r="Q25" s="40"/>
      <c r="R25" s="40"/>
      <c r="S25" s="1"/>
      <c r="T25" s="37"/>
      <c r="U25" s="40"/>
      <c r="V25" s="40"/>
      <c r="W25" s="40"/>
      <c r="X25" s="40"/>
    </row>
    <row r="26" spans="1:24">
      <c r="A26" s="65"/>
      <c r="B26" s="39" t="s">
        <v>30</v>
      </c>
      <c r="C26" s="38"/>
      <c r="D26" s="38"/>
      <c r="E26" s="79">
        <v>46.2</v>
      </c>
      <c r="F26" s="80">
        <v>54</v>
      </c>
      <c r="G26" s="79">
        <v>47.4</v>
      </c>
      <c r="H26" s="79">
        <v>55.2</v>
      </c>
      <c r="I26" s="80">
        <v>201</v>
      </c>
      <c r="J26" s="79">
        <v>229.8</v>
      </c>
      <c r="K26" s="80">
        <v>1410</v>
      </c>
      <c r="L26" s="80">
        <v>1632</v>
      </c>
      <c r="M26" s="1"/>
      <c r="N26" s="37"/>
      <c r="O26" s="40"/>
      <c r="P26" s="40"/>
      <c r="Q26" s="40"/>
      <c r="R26" s="40"/>
      <c r="S26" s="1"/>
      <c r="T26" s="37"/>
      <c r="U26" s="40"/>
      <c r="V26" s="40"/>
      <c r="W26" s="40"/>
      <c r="X26" s="40"/>
    </row>
    <row r="27" spans="1:24">
      <c r="A27" s="99" t="s">
        <v>35</v>
      </c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1"/>
      <c r="M27" s="1"/>
      <c r="N27" s="37"/>
      <c r="O27" s="40"/>
      <c r="P27" s="40"/>
      <c r="Q27" s="40"/>
      <c r="R27" s="40"/>
      <c r="S27" s="1"/>
      <c r="T27" s="37"/>
      <c r="U27" s="40"/>
      <c r="V27" s="40"/>
      <c r="W27" s="40"/>
      <c r="X27" s="40"/>
    </row>
    <row r="28" spans="1:24">
      <c r="A28" s="47" t="s">
        <v>188</v>
      </c>
      <c r="B28" s="2" t="s">
        <v>189</v>
      </c>
      <c r="C28" s="15">
        <v>75</v>
      </c>
      <c r="D28" s="18">
        <v>75</v>
      </c>
      <c r="E28" s="13">
        <f>C28*3.67/40</f>
        <v>6.8812499999999996</v>
      </c>
      <c r="F28" s="17">
        <f>D28*3.67/40</f>
        <v>6.8812499999999996</v>
      </c>
      <c r="G28" s="13">
        <f>C28*5.65/40</f>
        <v>10.59375</v>
      </c>
      <c r="H28" s="17">
        <f>D28*5.65/40</f>
        <v>10.59375</v>
      </c>
      <c r="I28" s="13">
        <f>C28*20.12/40</f>
        <v>37.725000000000001</v>
      </c>
      <c r="J28" s="17">
        <f>D28*20.12/40</f>
        <v>37.725000000000001</v>
      </c>
      <c r="K28" s="13">
        <f t="shared" si="2"/>
        <v>273.76875000000001</v>
      </c>
      <c r="L28" s="17">
        <f t="shared" si="2"/>
        <v>273.76875000000001</v>
      </c>
      <c r="M28" s="1"/>
      <c r="N28" s="37"/>
      <c r="O28" s="40"/>
      <c r="P28" s="40"/>
      <c r="Q28" s="40"/>
      <c r="R28" s="40"/>
      <c r="S28" s="1"/>
      <c r="T28" s="37"/>
      <c r="U28" s="40"/>
      <c r="V28" s="40"/>
      <c r="W28" s="40"/>
      <c r="X28" s="40"/>
    </row>
    <row r="29" spans="1:24">
      <c r="A29" s="65" t="s">
        <v>129</v>
      </c>
      <c r="B29" s="5" t="s">
        <v>15</v>
      </c>
      <c r="C29" s="15">
        <v>200</v>
      </c>
      <c r="D29" s="18">
        <v>200</v>
      </c>
      <c r="E29" s="13">
        <f>C29*0.3/200</f>
        <v>0.3</v>
      </c>
      <c r="F29" s="17">
        <f>D29*0.3/200</f>
        <v>0.3</v>
      </c>
      <c r="G29" s="24">
        <f>C29*0/200</f>
        <v>0</v>
      </c>
      <c r="H29" s="17">
        <f>D29*0/200</f>
        <v>0</v>
      </c>
      <c r="I29" s="13">
        <f>C29*15.2/200</f>
        <v>15.2</v>
      </c>
      <c r="J29" s="17">
        <f>D29*15.2/200</f>
        <v>15.2</v>
      </c>
      <c r="K29" s="13">
        <f t="shared" ref="K29:L29" si="5">E29*4+G29*9+I29*4</f>
        <v>62</v>
      </c>
      <c r="L29" s="17">
        <f t="shared" si="5"/>
        <v>62</v>
      </c>
      <c r="M29" s="1"/>
      <c r="N29" s="37"/>
      <c r="O29" s="40"/>
      <c r="P29" s="40"/>
      <c r="Q29" s="40"/>
      <c r="R29" s="40"/>
      <c r="S29" s="1"/>
      <c r="T29" s="37"/>
      <c r="U29" s="40"/>
      <c r="V29" s="40"/>
      <c r="W29" s="40"/>
      <c r="X29" s="40"/>
    </row>
    <row r="30" spans="1:24">
      <c r="A30" s="65"/>
      <c r="B30" s="7" t="s">
        <v>18</v>
      </c>
      <c r="C30" s="62">
        <f t="shared" ref="C30:L30" si="6">SUM(C28:C29)</f>
        <v>275</v>
      </c>
      <c r="D30" s="11">
        <f t="shared" si="6"/>
        <v>275</v>
      </c>
      <c r="E30" s="10">
        <f t="shared" si="6"/>
        <v>7.1812499999999995</v>
      </c>
      <c r="F30" s="16">
        <f t="shared" si="6"/>
        <v>7.1812499999999995</v>
      </c>
      <c r="G30" s="10">
        <f t="shared" si="6"/>
        <v>10.59375</v>
      </c>
      <c r="H30" s="11">
        <f t="shared" si="6"/>
        <v>10.59375</v>
      </c>
      <c r="I30" s="62">
        <f t="shared" si="6"/>
        <v>52.924999999999997</v>
      </c>
      <c r="J30" s="11">
        <f t="shared" si="6"/>
        <v>52.924999999999997</v>
      </c>
      <c r="K30" s="10">
        <f t="shared" si="6"/>
        <v>335.76875000000001</v>
      </c>
      <c r="L30" s="16">
        <f t="shared" si="6"/>
        <v>335.76875000000001</v>
      </c>
      <c r="M30" s="36"/>
      <c r="N30" s="49"/>
      <c r="O30" s="40"/>
      <c r="P30" s="40"/>
      <c r="Q30" s="40"/>
      <c r="R30" s="40"/>
      <c r="S30" s="36"/>
      <c r="T30" s="37"/>
      <c r="U30" s="40"/>
      <c r="V30" s="40"/>
      <c r="W30" s="40"/>
      <c r="X30" s="40"/>
    </row>
    <row r="31" spans="1:24">
      <c r="A31" s="99"/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1"/>
      <c r="N31" s="50"/>
      <c r="T31" s="51"/>
    </row>
    <row r="32" spans="1:24">
      <c r="A32" s="26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N32" s="44"/>
      <c r="T32" s="40"/>
    </row>
    <row r="33" spans="1:20">
      <c r="A33" s="26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N33" s="44"/>
      <c r="T33" s="40"/>
    </row>
    <row r="34" spans="1:20">
      <c r="A34" s="26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N34" s="45"/>
      <c r="T34" s="46"/>
    </row>
    <row r="35" spans="1:20">
      <c r="A35" s="26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N35" s="1"/>
      <c r="T35" s="1"/>
    </row>
    <row r="36" spans="1:20">
      <c r="A36" s="26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T36" s="1"/>
    </row>
    <row r="37" spans="1:20">
      <c r="A37" s="26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</row>
    <row r="38" spans="1:20">
      <c r="A38" s="26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</row>
    <row r="39" spans="1:20">
      <c r="A39" s="26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</row>
    <row r="40" spans="1:20">
      <c r="A40" s="36"/>
      <c r="B40" s="36"/>
      <c r="C40" s="36"/>
      <c r="D40" s="32"/>
      <c r="E40" s="32"/>
      <c r="F40" s="32"/>
      <c r="G40" s="32"/>
      <c r="H40" s="32"/>
      <c r="I40" s="32"/>
      <c r="J40" s="32"/>
      <c r="K40" s="32"/>
      <c r="L40" s="32"/>
    </row>
    <row r="41" spans="1:20">
      <c r="A41" s="1"/>
      <c r="B41" s="1"/>
      <c r="C41" s="37"/>
      <c r="D41" s="26"/>
      <c r="E41" s="26"/>
      <c r="F41" s="26"/>
      <c r="G41" s="26"/>
      <c r="H41" s="26"/>
      <c r="I41" s="26"/>
      <c r="J41" s="26"/>
      <c r="K41" s="26"/>
      <c r="L41" s="26"/>
      <c r="M41" s="1"/>
    </row>
    <row r="42" spans="1:20">
      <c r="A42" s="1"/>
      <c r="B42" s="1"/>
      <c r="C42" s="37"/>
      <c r="D42" s="26"/>
      <c r="E42" s="26"/>
      <c r="F42" s="26"/>
      <c r="G42" s="26"/>
      <c r="H42" s="26"/>
      <c r="I42" s="26"/>
      <c r="J42" s="26"/>
      <c r="K42" s="26"/>
      <c r="L42" s="26"/>
      <c r="M42" s="1"/>
    </row>
    <row r="43" spans="1:20">
      <c r="A43" s="1"/>
      <c r="B43" s="1"/>
      <c r="C43" s="37"/>
      <c r="D43" s="26"/>
      <c r="E43" s="26"/>
      <c r="F43" s="26"/>
      <c r="G43" s="26"/>
      <c r="H43" s="26"/>
      <c r="I43" s="26"/>
      <c r="J43" s="26"/>
      <c r="K43" s="26"/>
      <c r="L43" s="26"/>
      <c r="M43" s="1"/>
    </row>
    <row r="44" spans="1:20">
      <c r="A44" s="1"/>
      <c r="B44" s="1"/>
      <c r="C44" s="37"/>
      <c r="D44" s="26"/>
      <c r="E44" s="26"/>
      <c r="F44" s="26"/>
      <c r="G44" s="26"/>
      <c r="H44" s="26"/>
      <c r="I44" s="26"/>
      <c r="J44" s="26"/>
      <c r="K44" s="26"/>
      <c r="L44" s="26"/>
      <c r="M44" s="1"/>
    </row>
    <row r="45" spans="1:20">
      <c r="A45" s="1"/>
      <c r="B45" s="1"/>
      <c r="C45" s="37"/>
      <c r="D45" s="1"/>
      <c r="I45" s="8"/>
      <c r="J45" s="8"/>
      <c r="K45" s="8"/>
      <c r="L45" s="8"/>
    </row>
    <row r="46" spans="1:20">
      <c r="A46" s="1"/>
      <c r="B46" s="1"/>
      <c r="C46" s="37"/>
      <c r="D46" s="1"/>
    </row>
    <row r="47" spans="1:20">
      <c r="A47" s="1"/>
      <c r="B47" s="1"/>
      <c r="C47" s="37"/>
      <c r="D47" s="1"/>
    </row>
    <row r="48" spans="1:20">
      <c r="A48" s="1"/>
      <c r="B48" s="1"/>
      <c r="C48" s="37"/>
      <c r="D48" s="1"/>
    </row>
    <row r="49" spans="1:4">
      <c r="A49" s="1"/>
      <c r="B49" s="1"/>
      <c r="C49" s="37"/>
      <c r="D49" s="1"/>
    </row>
    <row r="50" spans="1:4">
      <c r="A50" s="1"/>
      <c r="B50" s="1"/>
      <c r="C50" s="37"/>
      <c r="D50" s="1"/>
    </row>
    <row r="51" spans="1:4">
      <c r="A51" s="1"/>
      <c r="B51" s="1"/>
      <c r="C51" s="37"/>
      <c r="D51" s="1"/>
    </row>
    <row r="52" spans="1:4">
      <c r="A52" s="1"/>
      <c r="B52" s="1"/>
      <c r="C52" s="37"/>
      <c r="D52" s="1"/>
    </row>
    <row r="53" spans="1:4">
      <c r="A53" s="1"/>
      <c r="B53" s="1"/>
      <c r="C53" s="37"/>
      <c r="D53" s="1"/>
    </row>
    <row r="54" spans="1:4">
      <c r="A54" s="1"/>
      <c r="B54" s="1"/>
      <c r="C54" s="37"/>
      <c r="D54" s="1"/>
    </row>
    <row r="55" spans="1:4">
      <c r="A55" s="1"/>
      <c r="B55" s="1"/>
      <c r="C55" s="37"/>
      <c r="D55" s="1"/>
    </row>
    <row r="56" spans="1:4">
      <c r="A56" s="1"/>
      <c r="B56" s="1"/>
      <c r="C56" s="37"/>
      <c r="D56" s="1"/>
    </row>
    <row r="57" spans="1:4">
      <c r="A57" s="1"/>
      <c r="B57" s="1"/>
      <c r="C57" s="37"/>
      <c r="D57" s="1"/>
    </row>
    <row r="58" spans="1:4">
      <c r="A58" s="1"/>
      <c r="B58" s="1"/>
      <c r="C58" s="37"/>
      <c r="D58" s="1"/>
    </row>
    <row r="59" spans="1:4">
      <c r="A59" s="1"/>
      <c r="B59" s="1"/>
      <c r="C59" s="37"/>
      <c r="D59" s="1"/>
    </row>
    <row r="60" spans="1:4">
      <c r="A60" s="1"/>
      <c r="B60" s="1"/>
      <c r="C60" s="37"/>
      <c r="D60" s="1"/>
    </row>
    <row r="61" spans="1:4">
      <c r="A61" s="1"/>
      <c r="B61" s="1"/>
      <c r="C61" s="37"/>
      <c r="D61" s="1"/>
    </row>
    <row r="62" spans="1:4">
      <c r="A62" s="1"/>
      <c r="B62" s="1"/>
      <c r="C62" s="37"/>
      <c r="D62" s="1"/>
    </row>
    <row r="63" spans="1:4">
      <c r="A63" s="1"/>
      <c r="B63" s="1"/>
      <c r="C63" s="37"/>
      <c r="D63" s="1"/>
    </row>
    <row r="64" spans="1:4">
      <c r="A64" s="1"/>
      <c r="B64" s="1"/>
      <c r="C64" s="37"/>
      <c r="D64" s="1"/>
    </row>
    <row r="65" spans="1:4">
      <c r="A65" s="1"/>
      <c r="B65" s="1"/>
      <c r="C65" s="37"/>
      <c r="D65" s="1"/>
    </row>
    <row r="66" spans="1:4">
      <c r="A66" s="1"/>
      <c r="B66" s="1"/>
      <c r="C66" s="37"/>
      <c r="D66" s="1"/>
    </row>
    <row r="67" spans="1:4">
      <c r="A67" s="1"/>
      <c r="B67" s="1"/>
      <c r="C67" s="1"/>
    </row>
    <row r="68" spans="1:4">
      <c r="A68" s="1"/>
      <c r="B68" s="1"/>
      <c r="C68" s="1"/>
    </row>
    <row r="69" spans="1:4">
      <c r="A69" s="1"/>
      <c r="B69" s="1"/>
      <c r="C69" s="1"/>
    </row>
    <row r="70" spans="1:4">
      <c r="A70" s="1"/>
      <c r="B70" s="1"/>
      <c r="C70" s="1"/>
    </row>
    <row r="71" spans="1:4">
      <c r="A71" s="1"/>
      <c r="B71" s="1"/>
      <c r="C71" s="1"/>
    </row>
  </sheetData>
  <mergeCells count="17">
    <mergeCell ref="A1:B1"/>
    <mergeCell ref="E1:H1"/>
    <mergeCell ref="A2:D2"/>
    <mergeCell ref="E2:H2"/>
    <mergeCell ref="A3:A5"/>
    <mergeCell ref="B3:B5"/>
    <mergeCell ref="C3:D4"/>
    <mergeCell ref="E3:J3"/>
    <mergeCell ref="A24:L24"/>
    <mergeCell ref="A27:L27"/>
    <mergeCell ref="A31:L31"/>
    <mergeCell ref="K3:L4"/>
    <mergeCell ref="E4:F4"/>
    <mergeCell ref="G4:H4"/>
    <mergeCell ref="I4:J4"/>
    <mergeCell ref="A6:L6"/>
    <mergeCell ref="A12:L12"/>
  </mergeCells>
  <pageMargins left="0.32291666666666669" right="0.7" top="0.29166666666666669" bottom="0.44791666666666669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14</vt:i4>
      </vt:variant>
    </vt:vector>
  </HeadingPairs>
  <TitlesOfParts>
    <vt:vector size="14" baseType="lpstr">
      <vt:lpstr>Сводная</vt:lpstr>
      <vt:lpstr>день 1 </vt:lpstr>
      <vt:lpstr>день 2</vt:lpstr>
      <vt:lpstr>день 3</vt:lpstr>
      <vt:lpstr>день 4 </vt:lpstr>
      <vt:lpstr>день 5 </vt:lpstr>
      <vt:lpstr>день 6 </vt:lpstr>
      <vt:lpstr>день 7 </vt:lpstr>
      <vt:lpstr>день 8 </vt:lpstr>
      <vt:lpstr>день 9</vt:lpstr>
      <vt:lpstr>день 10 </vt:lpstr>
      <vt:lpstr>день 11 </vt:lpstr>
      <vt:lpstr>день 12</vt:lpstr>
      <vt:lpstr>000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2021-03-01T04:31:37Z</dcterms:modified>
</cp:coreProperties>
</file>